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rrenWallbank\Dropbox\BPG Working Directors\Education Strategy\Curriculum\Estimate structure\"/>
    </mc:Choice>
  </mc:AlternateContent>
  <xr:revisionPtr revIDLastSave="0" documentId="8_{140577EF-6C3F-4A04-B8C5-42F4AC84B2AA}" xr6:coauthVersionLast="47" xr6:coauthVersionMax="47" xr10:uidLastSave="{00000000-0000-0000-0000-000000000000}"/>
  <bookViews>
    <workbookView xWindow="17565" yWindow="-16320" windowWidth="29040" windowHeight="15720" tabRatio="868" xr2:uid="{00000000-000D-0000-FFFF-FFFF00000000}"/>
  </bookViews>
  <sheets>
    <sheet name="SUMMARY" sheetId="1" r:id="rId1"/>
    <sheet name="Costings" sheetId="44" r:id="rId2"/>
    <sheet name="Bulk Excavation" sheetId="45" r:id="rId3"/>
    <sheet name="Bored Piers" sheetId="46" r:id="rId4"/>
    <sheet name="Capping Beam" sheetId="47" r:id="rId5"/>
    <sheet name="Shotcrete" sheetId="48" r:id="rId6"/>
    <sheet name="Raft Slab" sheetId="41" r:id="rId7"/>
    <sheet name="Waffle Slab" sheetId="58" r:id="rId8"/>
    <sheet name="Infill Slab" sheetId="49" r:id="rId9"/>
    <sheet name="Footing &amp; Detailed Excavation" sheetId="50" r:id="rId10"/>
    <sheet name="First Floor Suspended Slab" sheetId="51" r:id="rId11"/>
    <sheet name="Second Floor Suspended Slab" sheetId="52" r:id="rId12"/>
    <sheet name="Columns" sheetId="53" r:id="rId13"/>
    <sheet name="AFS Logic Walls Walls" sheetId="54" r:id="rId14"/>
    <sheet name="Stairs" sheetId="55" r:id="rId15"/>
    <sheet name="Miscellaneous Works" sheetId="56" r:id="rId16"/>
    <sheet name="Site Cleaning" sheetId="57" r:id="rId17"/>
  </sheets>
  <externalReferences>
    <externalReference r:id="rId18"/>
  </externalReferences>
  <definedNames>
    <definedName name="_grd72" localSheetId="13">#REF!</definedName>
    <definedName name="_grd72" localSheetId="3">#REF!</definedName>
    <definedName name="_grd72" localSheetId="2">#REF!</definedName>
    <definedName name="_grd72" localSheetId="4">#REF!</definedName>
    <definedName name="_grd72" localSheetId="12">#REF!</definedName>
    <definedName name="_grd72" localSheetId="10">#REF!</definedName>
    <definedName name="_grd72" localSheetId="9">#REF!</definedName>
    <definedName name="_grd72" localSheetId="8">#REF!</definedName>
    <definedName name="_grd72" localSheetId="15">#REF!</definedName>
    <definedName name="_grd72" localSheetId="6">'Raft Slab'!#REF!</definedName>
    <definedName name="_grd72" localSheetId="11">#REF!</definedName>
    <definedName name="_grd72" localSheetId="5">#REF!</definedName>
    <definedName name="_grd72" localSheetId="16">#REF!</definedName>
    <definedName name="_grd72" localSheetId="14">#REF!</definedName>
    <definedName name="_grd72" localSheetId="0">#REF!</definedName>
    <definedName name="_grd72" localSheetId="7">'Waffle Slab'!#REF!</definedName>
    <definedName name="_grd72">#REF!</definedName>
    <definedName name="_one72" localSheetId="13">#REF!</definedName>
    <definedName name="_one72" localSheetId="3">#REF!</definedName>
    <definedName name="_one72" localSheetId="2">#REF!</definedName>
    <definedName name="_one72" localSheetId="4">#REF!</definedName>
    <definedName name="_one72" localSheetId="12">#REF!</definedName>
    <definedName name="_one72" localSheetId="10">#REF!</definedName>
    <definedName name="_one72" localSheetId="9">#REF!</definedName>
    <definedName name="_one72" localSheetId="8">#REF!</definedName>
    <definedName name="_one72" localSheetId="15">#REF!</definedName>
    <definedName name="_one72" localSheetId="6">'Raft Slab'!#REF!</definedName>
    <definedName name="_one72" localSheetId="11">#REF!</definedName>
    <definedName name="_one72" localSheetId="5">#REF!</definedName>
    <definedName name="_one72" localSheetId="16">#REF!</definedName>
    <definedName name="_one72" localSheetId="14">#REF!</definedName>
    <definedName name="_one72" localSheetId="0">#REF!</definedName>
    <definedName name="_one72" localSheetId="7">'Waffle Slab'!#REF!</definedName>
    <definedName name="_one72">#REF!</definedName>
    <definedName name="_two72" localSheetId="13">#REF!</definedName>
    <definedName name="_two72" localSheetId="3">#REF!</definedName>
    <definedName name="_two72" localSheetId="2">#REF!</definedName>
    <definedName name="_two72" localSheetId="4">#REF!</definedName>
    <definedName name="_two72" localSheetId="12">#REF!</definedName>
    <definedName name="_two72" localSheetId="10">#REF!</definedName>
    <definedName name="_two72" localSheetId="9">#REF!</definedName>
    <definedName name="_two72" localSheetId="8">#REF!</definedName>
    <definedName name="_two72" localSheetId="15">#REF!</definedName>
    <definedName name="_two72" localSheetId="6">'Raft Slab'!#REF!</definedName>
    <definedName name="_two72" localSheetId="11">#REF!</definedName>
    <definedName name="_two72" localSheetId="5">#REF!</definedName>
    <definedName name="_two72" localSheetId="16">#REF!</definedName>
    <definedName name="_two72" localSheetId="14">#REF!</definedName>
    <definedName name="_two72" localSheetId="0">#REF!</definedName>
    <definedName name="_two72" localSheetId="7">'Waffle Slab'!#REF!</definedName>
    <definedName name="_two72">#REF!</definedName>
    <definedName name="_wie72" localSheetId="13">#REF!</definedName>
    <definedName name="_wie72" localSheetId="3">#REF!</definedName>
    <definedName name="_wie72" localSheetId="2">#REF!</definedName>
    <definedName name="_wie72" localSheetId="4">#REF!</definedName>
    <definedName name="_wie72" localSheetId="12">#REF!</definedName>
    <definedName name="_wie72" localSheetId="10">#REF!</definedName>
    <definedName name="_wie72" localSheetId="9">#REF!</definedName>
    <definedName name="_wie72" localSheetId="8">#REF!</definedName>
    <definedName name="_wie72" localSheetId="15">#REF!</definedName>
    <definedName name="_wie72" localSheetId="6">'Raft Slab'!#REF!</definedName>
    <definedName name="_wie72" localSheetId="11">#REF!</definedName>
    <definedName name="_wie72" localSheetId="5">#REF!</definedName>
    <definedName name="_wie72" localSheetId="16">#REF!</definedName>
    <definedName name="_wie72" localSheetId="14">#REF!</definedName>
    <definedName name="_wie72" localSheetId="0">#REF!</definedName>
    <definedName name="_wie72" localSheetId="7">'Waffle Slab'!#REF!</definedName>
    <definedName name="_wie72">#REF!</definedName>
    <definedName name="b72f">#REF!</definedName>
    <definedName name="b72g">#REF!</definedName>
    <definedName name="b72r">#REF!</definedName>
    <definedName name="b72s">#REF!</definedName>
    <definedName name="b72t">#REF!</definedName>
    <definedName name="ba">#REF!</definedName>
    <definedName name="bb">#REF!</definedName>
    <definedName name="CCX" localSheetId="13">#REF!</definedName>
    <definedName name="CCX" localSheetId="3">#REF!</definedName>
    <definedName name="CCX" localSheetId="2">#REF!</definedName>
    <definedName name="CCX" localSheetId="4">#REF!</definedName>
    <definedName name="CCX" localSheetId="12">#REF!</definedName>
    <definedName name="CCX" localSheetId="10">#REF!</definedName>
    <definedName name="CCX" localSheetId="9">#REF!</definedName>
    <definedName name="CCX" localSheetId="8">#REF!</definedName>
    <definedName name="CCX" localSheetId="15">#REF!</definedName>
    <definedName name="CCX" localSheetId="11">#REF!</definedName>
    <definedName name="CCX" localSheetId="5">#REF!</definedName>
    <definedName name="CCX" localSheetId="16">#REF!</definedName>
    <definedName name="CCX" localSheetId="14">#REF!</definedName>
    <definedName name="CCX" localSheetId="7">#REF!</definedName>
    <definedName name="CCX">#REF!</definedName>
    <definedName name="co">#REF!</definedName>
    <definedName name="CONF" localSheetId="13">#REF!</definedName>
    <definedName name="CONF" localSheetId="3">#REF!</definedName>
    <definedName name="CONF" localSheetId="2">#REF!</definedName>
    <definedName name="CONF" localSheetId="4">#REF!</definedName>
    <definedName name="CONF" localSheetId="12">#REF!</definedName>
    <definedName name="CONF" localSheetId="10">#REF!</definedName>
    <definedName name="CONF" localSheetId="9">#REF!</definedName>
    <definedName name="CONF" localSheetId="8">#REF!</definedName>
    <definedName name="CONF" localSheetId="15">#REF!</definedName>
    <definedName name="CONF" localSheetId="6">'Raft Slab'!#REF!</definedName>
    <definedName name="CONF" localSheetId="11">#REF!</definedName>
    <definedName name="CONF" localSheetId="5">#REF!</definedName>
    <definedName name="CONF" localSheetId="16">#REF!</definedName>
    <definedName name="CONF" localSheetId="14">#REF!</definedName>
    <definedName name="CONF" localSheetId="0">#REF!</definedName>
    <definedName name="CONF" localSheetId="7">'Waffle Slab'!#REF!</definedName>
    <definedName name="CONF">#REF!</definedName>
    <definedName name="conf1" localSheetId="13">#REF!</definedName>
    <definedName name="conf1" localSheetId="3">#REF!</definedName>
    <definedName name="conf1" localSheetId="2">#REF!</definedName>
    <definedName name="conf1" localSheetId="4">#REF!</definedName>
    <definedName name="conf1" localSheetId="12">#REF!</definedName>
    <definedName name="conf1" localSheetId="10">#REF!</definedName>
    <definedName name="conf1" localSheetId="9">#REF!</definedName>
    <definedName name="conf1" localSheetId="8">#REF!</definedName>
    <definedName name="conf1" localSheetId="15">#REF!</definedName>
    <definedName name="conf1" localSheetId="11">#REF!</definedName>
    <definedName name="conf1" localSheetId="5">#REF!</definedName>
    <definedName name="conf1" localSheetId="16">#REF!</definedName>
    <definedName name="conf1" localSheetId="14">#REF!</definedName>
    <definedName name="conf1" localSheetId="7">#REF!</definedName>
    <definedName name="conf1">#REF!</definedName>
    <definedName name="details">#REF!</definedName>
    <definedName name="details1" localSheetId="13">#REF!</definedName>
    <definedName name="details1" localSheetId="3">#REF!</definedName>
    <definedName name="details1" localSheetId="2">#REF!</definedName>
    <definedName name="details1" localSheetId="4">#REF!</definedName>
    <definedName name="details1" localSheetId="12">#REF!</definedName>
    <definedName name="details1" localSheetId="10">#REF!</definedName>
    <definedName name="details1" localSheetId="9">#REF!</definedName>
    <definedName name="details1" localSheetId="8">#REF!</definedName>
    <definedName name="details1" localSheetId="15">#REF!</definedName>
    <definedName name="details1" localSheetId="6">'Raft Slab'!#REF!</definedName>
    <definedName name="details1" localSheetId="11">#REF!</definedName>
    <definedName name="details1" localSheetId="5">#REF!</definedName>
    <definedName name="details1" localSheetId="16">#REF!</definedName>
    <definedName name="details1" localSheetId="14">#REF!</definedName>
    <definedName name="details1" localSheetId="0">#REF!</definedName>
    <definedName name="details1" localSheetId="7">'Waffle Slab'!#REF!</definedName>
    <definedName name="details1">#REF!</definedName>
    <definedName name="ELEMENT" localSheetId="13">[1]Report!#REF!</definedName>
    <definedName name="ELEMENT" localSheetId="3">[1]Report!#REF!</definedName>
    <definedName name="ELEMENT" localSheetId="2">[1]Report!#REF!</definedName>
    <definedName name="ELEMENT" localSheetId="4">[1]Report!#REF!</definedName>
    <definedName name="ELEMENT" localSheetId="12">[1]Report!#REF!</definedName>
    <definedName name="ELEMENT" localSheetId="10">[1]Report!#REF!</definedName>
    <definedName name="ELEMENT" localSheetId="9">[1]Report!#REF!</definedName>
    <definedName name="ELEMENT" localSheetId="8">[1]Report!#REF!</definedName>
    <definedName name="ELEMENT" localSheetId="15">[1]Report!#REF!</definedName>
    <definedName name="ELEMENT" localSheetId="11">[1]Report!#REF!</definedName>
    <definedName name="ELEMENT" localSheetId="5">[1]Report!#REF!</definedName>
    <definedName name="ELEMENT" localSheetId="16">[1]Report!#REF!</definedName>
    <definedName name="ELEMENT" localSheetId="14">[1]Report!#REF!</definedName>
    <definedName name="ELEMENT" localSheetId="7">[1]Report!#REF!</definedName>
    <definedName name="ELEMENT">[1]Report!#REF!</definedName>
    <definedName name="EXTL" localSheetId="13">#REF!</definedName>
    <definedName name="EXTL" localSheetId="3">#REF!</definedName>
    <definedName name="EXTL" localSheetId="2">#REF!</definedName>
    <definedName name="EXTL" localSheetId="4">#REF!</definedName>
    <definedName name="EXTL" localSheetId="12">#REF!</definedName>
    <definedName name="EXTL" localSheetId="10">#REF!</definedName>
    <definedName name="EXTL" localSheetId="9">#REF!</definedName>
    <definedName name="EXTL" localSheetId="8">#REF!</definedName>
    <definedName name="EXTL" localSheetId="15">#REF!</definedName>
    <definedName name="EXTL" localSheetId="6">'Raft Slab'!#REF!</definedName>
    <definedName name="EXTL" localSheetId="11">#REF!</definedName>
    <definedName name="EXTL" localSheetId="5">#REF!</definedName>
    <definedName name="EXTL" localSheetId="16">#REF!</definedName>
    <definedName name="EXTL" localSheetId="14">#REF!</definedName>
    <definedName name="EXTL" localSheetId="0">#REF!</definedName>
    <definedName name="EXTL" localSheetId="7">'Waffle Slab'!#REF!</definedName>
    <definedName name="EXTL">#REF!</definedName>
    <definedName name="FAX">#REF!</definedName>
    <definedName name="g72f">#REF!</definedName>
    <definedName name="LETTER" localSheetId="13">#REF!</definedName>
    <definedName name="LETTER" localSheetId="3">#REF!</definedName>
    <definedName name="LETTER" localSheetId="2">#REF!</definedName>
    <definedName name="LETTER" localSheetId="4">#REF!</definedName>
    <definedName name="LETTER" localSheetId="12">#REF!</definedName>
    <definedName name="LETTER" localSheetId="10">#REF!</definedName>
    <definedName name="LETTER" localSheetId="9">#REF!</definedName>
    <definedName name="LETTER" localSheetId="8">#REF!</definedName>
    <definedName name="LETTER" localSheetId="15">#REF!</definedName>
    <definedName name="LETTER" localSheetId="6">'Raft Slab'!#REF!</definedName>
    <definedName name="LETTER" localSheetId="11">#REF!</definedName>
    <definedName name="LETTER" localSheetId="5">#REF!</definedName>
    <definedName name="LETTER" localSheetId="16">#REF!</definedName>
    <definedName name="LETTER" localSheetId="14">#REF!</definedName>
    <definedName name="LETTER" localSheetId="0">#REF!</definedName>
    <definedName name="LETTER" localSheetId="7">'Waffle Slab'!#REF!</definedName>
    <definedName name="LETTER">#REF!</definedName>
    <definedName name="libf">#REF!</definedName>
    <definedName name="libg">#REF!</definedName>
    <definedName name="LIBRARY" localSheetId="13">#REF!</definedName>
    <definedName name="LIBRARY" localSheetId="3">#REF!</definedName>
    <definedName name="LIBRARY" localSheetId="2">#REF!</definedName>
    <definedName name="LIBRARY" localSheetId="4">#REF!</definedName>
    <definedName name="LIBRARY" localSheetId="12">#REF!</definedName>
    <definedName name="LIBRARY" localSheetId="10">#REF!</definedName>
    <definedName name="LIBRARY" localSheetId="9">#REF!</definedName>
    <definedName name="LIBRARY" localSheetId="8">#REF!</definedName>
    <definedName name="LIBRARY" localSheetId="15">#REF!</definedName>
    <definedName name="LIBRARY" localSheetId="6">'Raft Slab'!#REF!</definedName>
    <definedName name="LIBRARY" localSheetId="11">#REF!</definedName>
    <definedName name="LIBRARY" localSheetId="5">#REF!</definedName>
    <definedName name="LIBRARY" localSheetId="16">#REF!</definedName>
    <definedName name="LIBRARY" localSheetId="14">#REF!</definedName>
    <definedName name="LIBRARY" localSheetId="0">#REF!</definedName>
    <definedName name="LIBRARY" localSheetId="7">'Waffle Slab'!#REF!</definedName>
    <definedName name="LIBRARY">#REF!</definedName>
    <definedName name="libs">#REF!</definedName>
    <definedName name="libt">#REF!</definedName>
    <definedName name="_xlnm.Print_Area" localSheetId="13">'AFS Logic Walls Walls'!$A$1:$O$23</definedName>
    <definedName name="_xlnm.Print_Area" localSheetId="3">'Bored Piers'!$A$1:$O$42</definedName>
    <definedName name="_xlnm.Print_Area" localSheetId="2">'Bulk Excavation'!$A$1:$O$54</definedName>
    <definedName name="_xlnm.Print_Area" localSheetId="4">'Capping Beam'!$A$1:$O$79</definedName>
    <definedName name="_xlnm.Print_Area" localSheetId="12">Columns!$A$1:$O$27</definedName>
    <definedName name="_xlnm.Print_Area" localSheetId="10">'First Floor Suspended Slab'!$A$1:$O$92</definedName>
    <definedName name="_xlnm.Print_Area" localSheetId="9">'Footing &amp; Detailed Excavation'!$A$1:$O$60</definedName>
    <definedName name="_xlnm.Print_Area" localSheetId="8">'Infill Slab'!$A$1:$O$85</definedName>
    <definedName name="_xlnm.Print_Area" localSheetId="15">'Miscellaneous Works'!$A$1:$O$38</definedName>
    <definedName name="_xlnm.Print_Area" localSheetId="6">'Raft Slab'!$A$1:$O$100</definedName>
    <definedName name="_xlnm.Print_Area" localSheetId="11">'Second Floor Suspended Slab'!$A$1:$O$90</definedName>
    <definedName name="_xlnm.Print_Area" localSheetId="5">Shotcrete!$A$1:$O$54</definedName>
    <definedName name="_xlnm.Print_Area" localSheetId="16">'Site Cleaning'!$A$1:$O$14</definedName>
    <definedName name="_xlnm.Print_Area" localSheetId="14">Stairs!$A$1:$O$14</definedName>
    <definedName name="_xlnm.Print_Area" localSheetId="7">'Waffle Slab'!$A$1:$O$94</definedName>
    <definedName name="_xlnm.Print_Titles" localSheetId="6">'Raft Slab'!$1:$4</definedName>
    <definedName name="_xlnm.Print_Titles" localSheetId="0">SUMMARY!$1:$4</definedName>
    <definedName name="_xlnm.Print_Titles" localSheetId="7">'Waffle Slab'!$1:$4</definedName>
    <definedName name="Q">#REF!</definedName>
    <definedName name="report" localSheetId="13">#REF!</definedName>
    <definedName name="report" localSheetId="3">#REF!</definedName>
    <definedName name="report" localSheetId="2">#REF!</definedName>
    <definedName name="report" localSheetId="4">#REF!</definedName>
    <definedName name="report" localSheetId="12">#REF!</definedName>
    <definedName name="report" localSheetId="10">#REF!</definedName>
    <definedName name="report" localSheetId="9">#REF!</definedName>
    <definedName name="report" localSheetId="8">#REF!</definedName>
    <definedName name="report" localSheetId="15">#REF!</definedName>
    <definedName name="report" localSheetId="6">'Raft Slab'!#REF!</definedName>
    <definedName name="report" localSheetId="11">#REF!</definedName>
    <definedName name="report" localSheetId="5">#REF!</definedName>
    <definedName name="report" localSheetId="16">#REF!</definedName>
    <definedName name="report" localSheetId="14">#REF!</definedName>
    <definedName name="report" localSheetId="0">SUMMARY!#REF!</definedName>
    <definedName name="report" localSheetId="7">'Waffle Slab'!#REF!</definedName>
    <definedName name="report">#REF!</definedName>
    <definedName name="SUMMARIES" localSheetId="13">[1]Report!#REF!</definedName>
    <definedName name="SUMMARIES" localSheetId="3">[1]Report!#REF!</definedName>
    <definedName name="SUMMARIES" localSheetId="2">[1]Report!#REF!</definedName>
    <definedName name="SUMMARIES" localSheetId="4">[1]Report!#REF!</definedName>
    <definedName name="SUMMARIES" localSheetId="12">[1]Report!#REF!</definedName>
    <definedName name="SUMMARIES" localSheetId="10">[1]Report!#REF!</definedName>
    <definedName name="SUMMARIES" localSheetId="9">[1]Report!#REF!</definedName>
    <definedName name="SUMMARIES" localSheetId="8">[1]Report!#REF!</definedName>
    <definedName name="SUMMARIES" localSheetId="15">[1]Report!#REF!</definedName>
    <definedName name="SUMMARIES" localSheetId="11">[1]Report!#REF!</definedName>
    <definedName name="SUMMARIES" localSheetId="5">[1]Report!#REF!</definedName>
    <definedName name="SUMMARIES" localSheetId="16">[1]Report!#REF!</definedName>
    <definedName name="SUMMARIES" localSheetId="14">[1]Report!#REF!</definedName>
    <definedName name="SUMMARIES" localSheetId="7">[1]Report!#REF!</definedName>
    <definedName name="SUMMARIES">[1]Report!#REF!</definedName>
    <definedName name="summary">#REF!</definedName>
    <definedName name="totals" localSheetId="13">#REF!</definedName>
    <definedName name="totals" localSheetId="3">#REF!</definedName>
    <definedName name="totals" localSheetId="2">#REF!</definedName>
    <definedName name="totals" localSheetId="4">#REF!</definedName>
    <definedName name="totals" localSheetId="12">#REF!</definedName>
    <definedName name="totals" localSheetId="10">#REF!</definedName>
    <definedName name="totals" localSheetId="9">#REF!</definedName>
    <definedName name="totals" localSheetId="8">#REF!</definedName>
    <definedName name="totals" localSheetId="15">#REF!</definedName>
    <definedName name="totals" localSheetId="6">'Raft Slab'!#REF!</definedName>
    <definedName name="totals" localSheetId="11">#REF!</definedName>
    <definedName name="totals" localSheetId="5">#REF!</definedName>
    <definedName name="totals" localSheetId="16">#REF!</definedName>
    <definedName name="totals" localSheetId="14">#REF!</definedName>
    <definedName name="totals" localSheetId="0">#REF!</definedName>
    <definedName name="totals" localSheetId="7">'Waffle Slab'!#REF!</definedName>
    <definedName name="totals">#REF!</definedName>
    <definedName name="TRADE" localSheetId="13">[1]Report!#REF!</definedName>
    <definedName name="TRADE" localSheetId="3">[1]Report!#REF!</definedName>
    <definedName name="TRADE" localSheetId="2">[1]Report!#REF!</definedName>
    <definedName name="TRADE" localSheetId="4">[1]Report!#REF!</definedName>
    <definedName name="TRADE" localSheetId="12">[1]Report!#REF!</definedName>
    <definedName name="TRADE" localSheetId="10">[1]Report!#REF!</definedName>
    <definedName name="TRADE" localSheetId="9">[1]Report!#REF!</definedName>
    <definedName name="TRADE" localSheetId="8">[1]Report!#REF!</definedName>
    <definedName name="TRADE" localSheetId="15">[1]Report!#REF!</definedName>
    <definedName name="TRADE" localSheetId="11">[1]Report!#REF!</definedName>
    <definedName name="TRADE" localSheetId="5">[1]Report!#REF!</definedName>
    <definedName name="TRADE" localSheetId="16">[1]Report!#REF!</definedName>
    <definedName name="TRADE" localSheetId="14">[1]Report!#REF!</definedName>
    <definedName name="TRADE" localSheetId="7">[1]Report!#REF!</definedName>
    <definedName name="TRADE">[1]Report!#REF!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2" i="1" l="1"/>
  <c r="H32" i="1"/>
  <c r="L22" i="54"/>
  <c r="L20" i="1"/>
  <c r="K16" i="1"/>
  <c r="I16" i="1"/>
  <c r="J16" i="1" s="1"/>
  <c r="H16" i="1"/>
  <c r="M87" i="51"/>
  <c r="J15" i="1"/>
  <c r="I13" i="1"/>
  <c r="J13" i="1" s="1"/>
  <c r="H13" i="1"/>
  <c r="J10" i="1"/>
  <c r="I10" i="1"/>
  <c r="H10" i="1"/>
  <c r="K8" i="1"/>
  <c r="N33" i="46"/>
  <c r="N34" i="46"/>
  <c r="K6" i="1"/>
  <c r="J5" i="1"/>
  <c r="K5" i="1"/>
  <c r="M41" i="45"/>
  <c r="M34" i="1"/>
  <c r="I6" i="1" l="1"/>
  <c r="J6" i="1" s="1"/>
  <c r="H6" i="1"/>
  <c r="H5" i="1"/>
  <c r="L33" i="1"/>
  <c r="L31" i="1"/>
  <c r="L30" i="1"/>
  <c r="L29" i="1"/>
  <c r="L28" i="1"/>
  <c r="L7" i="1"/>
  <c r="L27" i="1"/>
  <c r="L26" i="1"/>
  <c r="L25" i="1"/>
  <c r="L24" i="1"/>
  <c r="L19" i="1"/>
  <c r="L18" i="1"/>
  <c r="L17" i="1"/>
  <c r="L16" i="1"/>
  <c r="L15" i="1"/>
  <c r="L9" i="1"/>
  <c r="L14" i="1"/>
  <c r="L12" i="1"/>
  <c r="L11" i="1"/>
  <c r="I5" i="1"/>
  <c r="S5" i="1"/>
  <c r="L23" i="1" l="1"/>
  <c r="S11" i="1"/>
  <c r="S9" i="1"/>
  <c r="S28" i="1"/>
  <c r="S25" i="1"/>
  <c r="H14" i="50" l="1"/>
  <c r="H8" i="50"/>
  <c r="G12" i="46" l="1"/>
  <c r="G11" i="46"/>
  <c r="G10" i="46"/>
  <c r="G9" i="46"/>
  <c r="H11" i="45" l="1"/>
  <c r="H12" i="45"/>
  <c r="E21" i="45" s="1"/>
  <c r="H21" i="45" s="1"/>
  <c r="H13" i="45"/>
  <c r="H14" i="45"/>
  <c r="H15" i="45"/>
  <c r="H10" i="45"/>
  <c r="H16" i="45" s="1"/>
  <c r="E19" i="45" s="1"/>
  <c r="H7" i="45"/>
  <c r="S22" i="1" l="1"/>
  <c r="S20" i="1"/>
  <c r="N20" i="1"/>
  <c r="S21" i="1" l="1"/>
  <c r="S6" i="1"/>
  <c r="S10" i="1"/>
  <c r="D33" i="45"/>
  <c r="H33" i="45" s="1"/>
  <c r="H20" i="45"/>
  <c r="H19" i="45"/>
  <c r="S16" i="1" l="1"/>
  <c r="S17" i="1"/>
  <c r="S18" i="1"/>
  <c r="S15" i="1"/>
  <c r="N24" i="1" l="1"/>
  <c r="N14" i="1"/>
  <c r="N25" i="1"/>
  <c r="H10" i="54"/>
  <c r="H11" i="54"/>
  <c r="N18" i="1"/>
  <c r="N17" i="1"/>
  <c r="N16" i="1"/>
  <c r="N9" i="1"/>
  <c r="N15" i="1"/>
  <c r="G58" i="47"/>
  <c r="G40" i="47"/>
  <c r="H9" i="54" l="1"/>
  <c r="H8" i="54"/>
  <c r="E30" i="50"/>
  <c r="E28" i="50"/>
  <c r="E29" i="50"/>
  <c r="H16" i="50"/>
  <c r="H13" i="50"/>
  <c r="H15" i="50"/>
  <c r="H12" i="50"/>
  <c r="H9" i="50"/>
  <c r="D21" i="49"/>
  <c r="H21" i="49" s="1"/>
  <c r="D22" i="49"/>
  <c r="D20" i="49"/>
  <c r="C21" i="49"/>
  <c r="C45" i="49" s="1"/>
  <c r="C22" i="49"/>
  <c r="C46" i="49" s="1"/>
  <c r="C20" i="49"/>
  <c r="C44" i="49" s="1"/>
  <c r="E52" i="47"/>
  <c r="E50" i="47"/>
  <c r="E48" i="47"/>
  <c r="E46" i="47"/>
  <c r="D52" i="47"/>
  <c r="G52" i="47" s="1"/>
  <c r="G53" i="47" s="1"/>
  <c r="D50" i="47"/>
  <c r="G50" i="47" s="1"/>
  <c r="G51" i="47" s="1"/>
  <c r="D48" i="47"/>
  <c r="D46" i="47"/>
  <c r="G48" i="47"/>
  <c r="G49" i="47" s="1"/>
  <c r="A41" i="47"/>
  <c r="A48" i="47" s="1"/>
  <c r="A42" i="47"/>
  <c r="A50" i="47" s="1"/>
  <c r="A43" i="47"/>
  <c r="A52" i="47" s="1"/>
  <c r="A40" i="47"/>
  <c r="A46" i="47" s="1"/>
  <c r="D33" i="47"/>
  <c r="G33" i="47" s="1"/>
  <c r="D34" i="47"/>
  <c r="G34" i="47" s="1"/>
  <c r="D35" i="47"/>
  <c r="G35" i="47" s="1"/>
  <c r="L36" i="47"/>
  <c r="N36" i="47" s="1"/>
  <c r="J36" i="47"/>
  <c r="G21" i="47"/>
  <c r="M27" i="47" l="1"/>
  <c r="G61" i="47"/>
  <c r="M61" i="47" s="1"/>
  <c r="G59" i="47"/>
  <c r="B44" i="44"/>
  <c r="B43" i="44"/>
  <c r="B42" i="44"/>
  <c r="B41" i="44"/>
  <c r="C30" i="44"/>
  <c r="D30" i="44" s="1"/>
  <c r="C31" i="44"/>
  <c r="D31" i="44" s="1"/>
  <c r="C29" i="44"/>
  <c r="C40" i="44"/>
  <c r="C36" i="44"/>
  <c r="C32" i="44" s="1"/>
  <c r="D32" i="44" s="1"/>
  <c r="C44" i="44"/>
  <c r="D44" i="44" s="1"/>
  <c r="D43" i="44"/>
  <c r="D42" i="44"/>
  <c r="D41" i="44"/>
  <c r="D14" i="44"/>
  <c r="C10" i="44"/>
  <c r="D10" i="44" s="1"/>
  <c r="E10" i="44" s="1"/>
  <c r="C3" i="44"/>
  <c r="D3" i="44" s="1"/>
  <c r="E3" i="44" s="1"/>
  <c r="L40" i="51" s="1"/>
  <c r="C4" i="44"/>
  <c r="D4" i="44" s="1"/>
  <c r="C5" i="44"/>
  <c r="D5" i="44" s="1"/>
  <c r="E5" i="44" s="1"/>
  <c r="C6" i="44"/>
  <c r="D6" i="44" s="1"/>
  <c r="E6" i="44" s="1"/>
  <c r="C7" i="44"/>
  <c r="D7" i="44" s="1"/>
  <c r="E7" i="44" s="1"/>
  <c r="C8" i="44"/>
  <c r="D8" i="44" s="1"/>
  <c r="E8" i="44" s="1"/>
  <c r="C9" i="44"/>
  <c r="D9" i="44" s="1"/>
  <c r="E9" i="44" s="1"/>
  <c r="C2" i="44"/>
  <c r="D2" i="44" s="1"/>
  <c r="E2" i="44" s="1"/>
  <c r="F2" i="44"/>
  <c r="H66" i="51"/>
  <c r="N44" i="51"/>
  <c r="H40" i="51"/>
  <c r="D39" i="51"/>
  <c r="H39" i="51" s="1"/>
  <c r="D38" i="51"/>
  <c r="H38" i="51" s="1"/>
  <c r="H27" i="51"/>
  <c r="H16" i="51"/>
  <c r="H95" i="41"/>
  <c r="O95" i="41" s="1"/>
  <c r="H94" i="41"/>
  <c r="M94" i="41" s="1"/>
  <c r="F84" i="41"/>
  <c r="H84" i="41" s="1"/>
  <c r="F83" i="41"/>
  <c r="H83" i="41" s="1"/>
  <c r="F82" i="41"/>
  <c r="H82" i="41" s="1"/>
  <c r="H81" i="41"/>
  <c r="N31" i="41"/>
  <c r="J31" i="41"/>
  <c r="N29" i="41"/>
  <c r="J29" i="41"/>
  <c r="C28" i="41"/>
  <c r="D28" i="41"/>
  <c r="H28" i="41" s="1"/>
  <c r="C29" i="41"/>
  <c r="D29" i="41"/>
  <c r="H29" i="41" s="1"/>
  <c r="C30" i="41"/>
  <c r="D30" i="41"/>
  <c r="H30" i="41" s="1"/>
  <c r="C31" i="41"/>
  <c r="D31" i="41"/>
  <c r="H31" i="41" s="1"/>
  <c r="K31" i="41" s="1"/>
  <c r="O31" i="41" s="1"/>
  <c r="D27" i="41"/>
  <c r="H27" i="41" s="1"/>
  <c r="C27" i="41"/>
  <c r="H15" i="41"/>
  <c r="H16" i="41"/>
  <c r="H17" i="41"/>
  <c r="H18" i="41"/>
  <c r="S12" i="1"/>
  <c r="S26" i="1"/>
  <c r="S27" i="1"/>
  <c r="S7" i="1"/>
  <c r="S29" i="1"/>
  <c r="S31" i="1"/>
  <c r="E38" i="50"/>
  <c r="D38" i="50"/>
  <c r="H38" i="50" s="1"/>
  <c r="C38" i="50"/>
  <c r="H18" i="50"/>
  <c r="N48" i="50"/>
  <c r="N47" i="50"/>
  <c r="G28" i="50"/>
  <c r="G29" i="50"/>
  <c r="G30" i="50"/>
  <c r="G32" i="50"/>
  <c r="G34" i="50"/>
  <c r="G36" i="50"/>
  <c r="G37" i="50"/>
  <c r="E32" i="50"/>
  <c r="E34" i="50"/>
  <c r="E36" i="50"/>
  <c r="E37" i="50"/>
  <c r="D28" i="50"/>
  <c r="D29" i="50"/>
  <c r="D30" i="50"/>
  <c r="D32" i="50"/>
  <c r="D34" i="50"/>
  <c r="D36" i="50"/>
  <c r="D37" i="50"/>
  <c r="D27" i="50"/>
  <c r="H27" i="50" s="1"/>
  <c r="C28" i="50"/>
  <c r="C29" i="50"/>
  <c r="C30" i="50"/>
  <c r="C32" i="50"/>
  <c r="C34" i="50"/>
  <c r="C36" i="50"/>
  <c r="C37" i="50"/>
  <c r="H10" i="50"/>
  <c r="H11" i="50"/>
  <c r="H17" i="50"/>
  <c r="M38" i="46"/>
  <c r="F48" i="45"/>
  <c r="G48" i="45" s="1"/>
  <c r="J28" i="45"/>
  <c r="J28" i="48"/>
  <c r="J28" i="49"/>
  <c r="J30" i="54"/>
  <c r="J28" i="55"/>
  <c r="J28" i="56"/>
  <c r="J28" i="57"/>
  <c r="M89" i="51"/>
  <c r="H68" i="51"/>
  <c r="H67" i="51"/>
  <c r="G11" i="53"/>
  <c r="F10" i="53"/>
  <c r="H6" i="48"/>
  <c r="H5" i="48"/>
  <c r="H4" i="48"/>
  <c r="G5" i="48"/>
  <c r="N46" i="46"/>
  <c r="N7" i="46"/>
  <c r="N15" i="56"/>
  <c r="G17" i="56"/>
  <c r="O15" i="56" s="1"/>
  <c r="H9" i="55"/>
  <c r="H8" i="55"/>
  <c r="F14" i="44"/>
  <c r="F15" i="44"/>
  <c r="F16" i="44"/>
  <c r="F17" i="44"/>
  <c r="F18" i="44"/>
  <c r="F19" i="44"/>
  <c r="F21" i="44"/>
  <c r="F22" i="44"/>
  <c r="F23" i="44"/>
  <c r="F24" i="44"/>
  <c r="F25" i="44"/>
  <c r="F26" i="44"/>
  <c r="F13" i="44"/>
  <c r="E13" i="44"/>
  <c r="H44" i="51"/>
  <c r="O44" i="51" s="1"/>
  <c r="H9" i="51"/>
  <c r="H45" i="49"/>
  <c r="L79" i="41"/>
  <c r="N79" i="41" s="1"/>
  <c r="N69" i="41"/>
  <c r="H14" i="41"/>
  <c r="M51" i="48"/>
  <c r="O51" i="48" s="1"/>
  <c r="L21" i="48"/>
  <c r="N21" i="48" s="1"/>
  <c r="L14" i="47"/>
  <c r="N14" i="47" s="1"/>
  <c r="G8" i="46"/>
  <c r="N32" i="45"/>
  <c r="H23" i="45"/>
  <c r="H24" i="45"/>
  <c r="H22" i="45"/>
  <c r="H25" i="45" s="1"/>
  <c r="H46" i="49"/>
  <c r="H47" i="49"/>
  <c r="H48" i="49"/>
  <c r="H44" i="49"/>
  <c r="L30" i="49"/>
  <c r="N30" i="49" s="1"/>
  <c r="H22" i="49"/>
  <c r="H27" i="49"/>
  <c r="H25" i="49"/>
  <c r="H28" i="49"/>
  <c r="H26" i="49"/>
  <c r="H24" i="49"/>
  <c r="N16" i="49"/>
  <c r="A23" i="1"/>
  <c r="A19" i="1"/>
  <c r="A22" i="1"/>
  <c r="A16" i="1"/>
  <c r="A17" i="1"/>
  <c r="A5" i="1"/>
  <c r="A8" i="1"/>
  <c r="A10" i="1"/>
  <c r="A11" i="1"/>
  <c r="A13" i="1"/>
  <c r="A6" i="1"/>
  <c r="L41" i="50"/>
  <c r="N41" i="50" s="1"/>
  <c r="N13" i="41"/>
  <c r="N54" i="41"/>
  <c r="N35" i="41"/>
  <c r="J35" i="41"/>
  <c r="H37" i="41"/>
  <c r="H36" i="41"/>
  <c r="D33" i="44"/>
  <c r="D34" i="44"/>
  <c r="D35" i="44"/>
  <c r="D36" i="44"/>
  <c r="D37" i="44"/>
  <c r="L27" i="41" s="1"/>
  <c r="D38" i="44"/>
  <c r="D39" i="44"/>
  <c r="L30" i="41" s="1"/>
  <c r="H20" i="53"/>
  <c r="N8" i="46"/>
  <c r="H92" i="58"/>
  <c r="O92" i="58"/>
  <c r="H81" i="58"/>
  <c r="H76" i="58"/>
  <c r="H78" i="58" s="1"/>
  <c r="H75" i="58" s="1"/>
  <c r="H71" i="58"/>
  <c r="H73" i="58" s="1"/>
  <c r="H70" i="58" s="1"/>
  <c r="N70" i="58"/>
  <c r="H66" i="58"/>
  <c r="H68" i="58" s="1"/>
  <c r="H65" i="58" s="1"/>
  <c r="D61" i="58"/>
  <c r="H61" i="58" s="1"/>
  <c r="H63" i="58" s="1"/>
  <c r="H60" i="58" s="1"/>
  <c r="H56" i="58"/>
  <c r="H58" i="58"/>
  <c r="H55" i="58" s="1"/>
  <c r="O55" i="58" s="1"/>
  <c r="H51" i="58"/>
  <c r="H53" i="58" s="1"/>
  <c r="H50" i="58" s="1"/>
  <c r="M50" i="58" s="1"/>
  <c r="H33" i="58"/>
  <c r="H35" i="58"/>
  <c r="H32" i="58" s="1"/>
  <c r="N32" i="58"/>
  <c r="O32" i="58" s="1"/>
  <c r="L32" i="58"/>
  <c r="H28" i="58"/>
  <c r="H30" i="58" s="1"/>
  <c r="H27" i="58" s="1"/>
  <c r="N27" i="58"/>
  <c r="L27" i="58"/>
  <c r="N22" i="58"/>
  <c r="L22" i="58"/>
  <c r="N20" i="58"/>
  <c r="L20" i="58"/>
  <c r="H19" i="58"/>
  <c r="H18" i="58"/>
  <c r="H17" i="58"/>
  <c r="H16" i="58"/>
  <c r="H15" i="58"/>
  <c r="H14" i="58"/>
  <c r="O13" i="58"/>
  <c r="H9" i="58"/>
  <c r="H11" i="58" s="1"/>
  <c r="H8" i="58" s="1"/>
  <c r="M3" i="58"/>
  <c r="M2" i="58"/>
  <c r="A2" i="58"/>
  <c r="M1" i="58"/>
  <c r="G9" i="57"/>
  <c r="M7" i="57" s="1"/>
  <c r="M13" i="57" s="1"/>
  <c r="N7" i="57"/>
  <c r="M3" i="57"/>
  <c r="M2" i="57"/>
  <c r="A2" i="57"/>
  <c r="K1" i="57"/>
  <c r="O36" i="56"/>
  <c r="M36" i="56"/>
  <c r="N33" i="56"/>
  <c r="G33" i="56"/>
  <c r="M33" i="56" s="1"/>
  <c r="G23" i="56"/>
  <c r="M21" i="56" s="1"/>
  <c r="N21" i="56"/>
  <c r="N10" i="56"/>
  <c r="O10" i="56"/>
  <c r="M10" i="56"/>
  <c r="N9" i="56"/>
  <c r="M3" i="56"/>
  <c r="M2" i="56"/>
  <c r="A2" i="56"/>
  <c r="K1" i="56"/>
  <c r="H11" i="55"/>
  <c r="H10" i="55"/>
  <c r="H12" i="55" s="1"/>
  <c r="H7" i="55" s="1"/>
  <c r="N7" i="55"/>
  <c r="O22" i="1" s="1"/>
  <c r="M3" i="55"/>
  <c r="M2" i="55"/>
  <c r="A2" i="55"/>
  <c r="K1" i="55"/>
  <c r="H20" i="54"/>
  <c r="M3" i="54"/>
  <c r="M2" i="54"/>
  <c r="A2" i="54"/>
  <c r="K1" i="54"/>
  <c r="J11" i="53"/>
  <c r="J12" i="53"/>
  <c r="J10" i="53"/>
  <c r="L8" i="53"/>
  <c r="N8" i="53"/>
  <c r="H24" i="53"/>
  <c r="N17" i="53"/>
  <c r="H17" i="53"/>
  <c r="M17" i="53" s="1"/>
  <c r="N16" i="53"/>
  <c r="H16" i="53"/>
  <c r="M16" i="53" s="1"/>
  <c r="N12" i="53"/>
  <c r="F12" i="53"/>
  <c r="D12" i="53"/>
  <c r="H12" i="53" s="1"/>
  <c r="K12" i="53" s="1"/>
  <c r="N11" i="53"/>
  <c r="E11" i="53"/>
  <c r="H11" i="53"/>
  <c r="K11" i="53" s="1"/>
  <c r="N10" i="53"/>
  <c r="N9" i="53"/>
  <c r="I9" i="53"/>
  <c r="F9" i="53"/>
  <c r="E10" i="53" s="1"/>
  <c r="E9" i="53"/>
  <c r="D9" i="53"/>
  <c r="H8" i="53"/>
  <c r="D21" i="53" s="1"/>
  <c r="H21" i="53" s="1"/>
  <c r="H22" i="53" s="1"/>
  <c r="H19" i="53" s="1"/>
  <c r="M3" i="53"/>
  <c r="M2" i="53"/>
  <c r="A2" i="53"/>
  <c r="K1" i="53"/>
  <c r="L61" i="52"/>
  <c r="N61" i="52" s="1"/>
  <c r="J55" i="52"/>
  <c r="J56" i="52"/>
  <c r="J52" i="52"/>
  <c r="J51" i="52"/>
  <c r="I47" i="52"/>
  <c r="I48" i="52"/>
  <c r="I46" i="52"/>
  <c r="J38" i="52"/>
  <c r="J39" i="52"/>
  <c r="J40" i="52"/>
  <c r="J37" i="52"/>
  <c r="N87" i="52"/>
  <c r="N85" i="52"/>
  <c r="H85" i="52"/>
  <c r="N84" i="52"/>
  <c r="H84" i="52"/>
  <c r="M84" i="52" s="1"/>
  <c r="H78" i="52"/>
  <c r="N77" i="52"/>
  <c r="N72" i="52"/>
  <c r="H69" i="52"/>
  <c r="H68" i="52"/>
  <c r="H67" i="52"/>
  <c r="H66" i="52"/>
  <c r="H63" i="52"/>
  <c r="N58" i="52"/>
  <c r="O58" i="52" s="1"/>
  <c r="H56" i="52"/>
  <c r="K56" i="52" s="1"/>
  <c r="H55" i="52"/>
  <c r="K55" i="52" s="1"/>
  <c r="H52" i="52"/>
  <c r="H51" i="52"/>
  <c r="K51" i="52" s="1"/>
  <c r="H48" i="52"/>
  <c r="K48" i="52" s="1"/>
  <c r="H47" i="52"/>
  <c r="K47" i="52" s="1"/>
  <c r="H46" i="52"/>
  <c r="K46" i="52" s="1"/>
  <c r="N42" i="52"/>
  <c r="O42" i="52" s="1"/>
  <c r="N32" i="52"/>
  <c r="O32" i="52" s="1"/>
  <c r="M32" i="52"/>
  <c r="N30" i="52"/>
  <c r="H29" i="52"/>
  <c r="H28" i="52"/>
  <c r="H27" i="52"/>
  <c r="H26" i="52"/>
  <c r="N20" i="52"/>
  <c r="H19" i="52"/>
  <c r="H18" i="52"/>
  <c r="H17" i="52"/>
  <c r="H12" i="52"/>
  <c r="H11" i="52"/>
  <c r="H10" i="52"/>
  <c r="H9" i="52"/>
  <c r="H14" i="52" s="1"/>
  <c r="M3" i="52"/>
  <c r="M2" i="52"/>
  <c r="A2" i="52"/>
  <c r="K1" i="52"/>
  <c r="L64" i="51"/>
  <c r="K55" i="51"/>
  <c r="K54" i="51"/>
  <c r="N89" i="51"/>
  <c r="N87" i="51"/>
  <c r="H87" i="51"/>
  <c r="O87" i="51" s="1"/>
  <c r="N86" i="51"/>
  <c r="H86" i="51"/>
  <c r="M86" i="51" s="1"/>
  <c r="H80" i="51"/>
  <c r="N79" i="51"/>
  <c r="N74" i="51"/>
  <c r="H71" i="51"/>
  <c r="H70" i="51"/>
  <c r="H69" i="51"/>
  <c r="N61" i="51"/>
  <c r="N34" i="51"/>
  <c r="O34" i="51"/>
  <c r="M34" i="51"/>
  <c r="N32" i="51"/>
  <c r="H31" i="51"/>
  <c r="H30" i="51"/>
  <c r="H29" i="51"/>
  <c r="H28" i="51"/>
  <c r="N22" i="51"/>
  <c r="H21" i="51"/>
  <c r="H20" i="51"/>
  <c r="H19" i="51"/>
  <c r="H18" i="51"/>
  <c r="H17" i="51"/>
  <c r="H13" i="51"/>
  <c r="H12" i="51"/>
  <c r="H11" i="51"/>
  <c r="H10" i="51"/>
  <c r="M3" i="51"/>
  <c r="M2" i="51"/>
  <c r="A2" i="51"/>
  <c r="K1" i="51"/>
  <c r="H15" i="44"/>
  <c r="H16" i="44"/>
  <c r="J40" i="51" s="1"/>
  <c r="H17" i="44"/>
  <c r="H18" i="44"/>
  <c r="H19" i="44"/>
  <c r="H20" i="44"/>
  <c r="H14" i="44"/>
  <c r="I20" i="44"/>
  <c r="I19" i="44"/>
  <c r="I18" i="44"/>
  <c r="I17" i="44"/>
  <c r="F40" i="52" s="1"/>
  <c r="F39" i="52"/>
  <c r="I16" i="44"/>
  <c r="I15" i="44"/>
  <c r="I14" i="44"/>
  <c r="H51" i="50"/>
  <c r="H48" i="50"/>
  <c r="O48" i="50" s="1"/>
  <c r="H47" i="50"/>
  <c r="M47" i="50" s="1"/>
  <c r="C27" i="50"/>
  <c r="N22" i="50"/>
  <c r="O17" i="50"/>
  <c r="N7" i="50"/>
  <c r="M3" i="50"/>
  <c r="M2" i="50"/>
  <c r="A2" i="50"/>
  <c r="K1" i="50"/>
  <c r="H78" i="49"/>
  <c r="H75" i="49"/>
  <c r="O75" i="49" s="1"/>
  <c r="H74" i="49"/>
  <c r="O74" i="49" s="1"/>
  <c r="N70" i="49"/>
  <c r="O70" i="49"/>
  <c r="M70" i="49"/>
  <c r="N60" i="49"/>
  <c r="O60" i="49" s="1"/>
  <c r="M60" i="49"/>
  <c r="N55" i="49"/>
  <c r="O55" i="49" s="1"/>
  <c r="M55" i="49"/>
  <c r="N51" i="49"/>
  <c r="N38" i="49"/>
  <c r="H34" i="49"/>
  <c r="N33" i="49"/>
  <c r="H15" i="49"/>
  <c r="H14" i="49"/>
  <c r="H13" i="49"/>
  <c r="H16" i="49" s="1"/>
  <c r="S13" i="1" s="1"/>
  <c r="M3" i="49"/>
  <c r="M2" i="49"/>
  <c r="A2" i="49"/>
  <c r="K1" i="49"/>
  <c r="K37" i="48"/>
  <c r="M37" i="48" s="1"/>
  <c r="J30" i="48"/>
  <c r="H47" i="48"/>
  <c r="N44" i="48"/>
  <c r="O44" i="48"/>
  <c r="M44" i="48"/>
  <c r="N43" i="48"/>
  <c r="N40" i="48"/>
  <c r="N37" i="48"/>
  <c r="N35" i="48"/>
  <c r="N31" i="48"/>
  <c r="N30" i="48"/>
  <c r="N28" i="48"/>
  <c r="N26" i="48"/>
  <c r="N23" i="48"/>
  <c r="N22" i="48"/>
  <c r="F14" i="48"/>
  <c r="E14" i="48"/>
  <c r="H13" i="48"/>
  <c r="G13" i="48"/>
  <c r="H12" i="48"/>
  <c r="G12" i="48"/>
  <c r="H11" i="48"/>
  <c r="G11" i="48"/>
  <c r="H10" i="48"/>
  <c r="G10" i="48"/>
  <c r="G6" i="48"/>
  <c r="H3" i="48"/>
  <c r="L22" i="47"/>
  <c r="N22" i="47" s="1"/>
  <c r="L17" i="46"/>
  <c r="N17" i="46"/>
  <c r="N72" i="47"/>
  <c r="O72" i="47" s="1"/>
  <c r="M72" i="47"/>
  <c r="N69" i="47"/>
  <c r="M69" i="47"/>
  <c r="N68" i="47"/>
  <c r="G68" i="47"/>
  <c r="M68" i="47" s="1"/>
  <c r="N67" i="47"/>
  <c r="M67" i="47"/>
  <c r="N64" i="47"/>
  <c r="N61" i="47"/>
  <c r="L59" i="47"/>
  <c r="N59" i="47" s="1"/>
  <c r="L56" i="47"/>
  <c r="N56" i="47" s="1"/>
  <c r="S54" i="47"/>
  <c r="L54" i="47"/>
  <c r="N54" i="47" s="1"/>
  <c r="S38" i="47"/>
  <c r="N38" i="47"/>
  <c r="D32" i="47"/>
  <c r="G54" i="47" s="1"/>
  <c r="N30" i="47"/>
  <c r="O30" i="47" s="1"/>
  <c r="N29" i="47"/>
  <c r="O29" i="47" s="1"/>
  <c r="N28" i="47"/>
  <c r="O28" i="47" s="1"/>
  <c r="S27" i="47"/>
  <c r="N27" i="47"/>
  <c r="M28" i="47"/>
  <c r="M29" i="47"/>
  <c r="N24" i="47"/>
  <c r="G24" i="47"/>
  <c r="M24" i="47" s="1"/>
  <c r="G22" i="47"/>
  <c r="S17" i="47"/>
  <c r="N16" i="47"/>
  <c r="D14" i="47"/>
  <c r="G14" i="47" s="1"/>
  <c r="N12" i="47"/>
  <c r="O12" i="47" s="1"/>
  <c r="M12" i="47"/>
  <c r="N11" i="47"/>
  <c r="O11" i="47" s="1"/>
  <c r="M11" i="47"/>
  <c r="N10" i="47"/>
  <c r="O10" i="47"/>
  <c r="M10" i="47"/>
  <c r="N9" i="47"/>
  <c r="O9" i="47" s="1"/>
  <c r="M9" i="47"/>
  <c r="R8" i="47"/>
  <c r="N8" i="47"/>
  <c r="O8" i="47" s="1"/>
  <c r="M8" i="47"/>
  <c r="M3" i="47"/>
  <c r="M2" i="47"/>
  <c r="A2" i="47"/>
  <c r="K1" i="47"/>
  <c r="N38" i="46"/>
  <c r="O38" i="46" s="1"/>
  <c r="L37" i="46"/>
  <c r="N37" i="46" s="1"/>
  <c r="L36" i="46"/>
  <c r="N36" i="46" s="1"/>
  <c r="L35" i="46"/>
  <c r="M35" i="46" s="1"/>
  <c r="N35" i="46"/>
  <c r="O35" i="46" s="1"/>
  <c r="L24" i="46"/>
  <c r="N24" i="46"/>
  <c r="L22" i="46"/>
  <c r="N22" i="46" s="1"/>
  <c r="O22" i="46" s="1"/>
  <c r="N19" i="46"/>
  <c r="F13" i="46"/>
  <c r="H28" i="46"/>
  <c r="H8" i="46"/>
  <c r="I8" i="46" s="1"/>
  <c r="H7" i="46"/>
  <c r="I7" i="46" s="1"/>
  <c r="G7" i="46"/>
  <c r="M3" i="46"/>
  <c r="M2" i="46"/>
  <c r="A2" i="46"/>
  <c r="K1" i="46"/>
  <c r="N48" i="45"/>
  <c r="N45" i="45"/>
  <c r="N44" i="45"/>
  <c r="N38" i="45"/>
  <c r="O38" i="45"/>
  <c r="M38" i="45"/>
  <c r="N35" i="45"/>
  <c r="O35" i="45"/>
  <c r="M35" i="45"/>
  <c r="N34" i="45"/>
  <c r="N33" i="45"/>
  <c r="N31" i="45"/>
  <c r="N30" i="45"/>
  <c r="O7" i="45"/>
  <c r="M7" i="45"/>
  <c r="M3" i="45"/>
  <c r="M2" i="45"/>
  <c r="A2" i="45"/>
  <c r="K1" i="45"/>
  <c r="D18" i="44"/>
  <c r="D24" i="44"/>
  <c r="D25" i="44"/>
  <c r="D26" i="44"/>
  <c r="E14" i="44"/>
  <c r="D13" i="44"/>
  <c r="E15" i="44"/>
  <c r="E16" i="44"/>
  <c r="E17" i="44"/>
  <c r="E18" i="44"/>
  <c r="E19" i="44"/>
  <c r="E21" i="44"/>
  <c r="E22" i="44"/>
  <c r="E23" i="44"/>
  <c r="E24" i="44"/>
  <c r="E25" i="44"/>
  <c r="E26" i="44"/>
  <c r="D15" i="44"/>
  <c r="D16" i="44"/>
  <c r="D17" i="44"/>
  <c r="L21" i="41" s="1"/>
  <c r="N21" i="41" s="1"/>
  <c r="L46" i="49"/>
  <c r="M46" i="49" s="1"/>
  <c r="D19" i="44"/>
  <c r="D21" i="44"/>
  <c r="D22" i="44"/>
  <c r="D23" i="44"/>
  <c r="L48" i="49" s="1"/>
  <c r="F3" i="44"/>
  <c r="F4" i="44"/>
  <c r="F5" i="44"/>
  <c r="F6" i="44"/>
  <c r="F7" i="44"/>
  <c r="F8" i="44"/>
  <c r="F9" i="44"/>
  <c r="F10" i="44"/>
  <c r="A2" i="41"/>
  <c r="N64" i="41"/>
  <c r="N47" i="41"/>
  <c r="N42" i="41"/>
  <c r="O74" i="41"/>
  <c r="O59" i="41"/>
  <c r="H88" i="41"/>
  <c r="H9" i="41"/>
  <c r="H11" i="41"/>
  <c r="H75" i="41"/>
  <c r="H77" i="41" s="1"/>
  <c r="H74" i="41" s="1"/>
  <c r="M74" i="41" s="1"/>
  <c r="H70" i="41"/>
  <c r="H72" i="41" s="1"/>
  <c r="H69" i="41" s="1"/>
  <c r="H65" i="41"/>
  <c r="H67" i="41"/>
  <c r="H64" i="41" s="1"/>
  <c r="H60" i="41"/>
  <c r="H62" i="41" s="1"/>
  <c r="H59" i="41" s="1"/>
  <c r="M59" i="41" s="1"/>
  <c r="M2" i="41"/>
  <c r="M3" i="41"/>
  <c r="M1" i="41"/>
  <c r="O50" i="58"/>
  <c r="M65" i="58"/>
  <c r="O65" i="58"/>
  <c r="M55" i="58"/>
  <c r="O75" i="58"/>
  <c r="M75" i="58"/>
  <c r="O60" i="58"/>
  <c r="M60" i="58"/>
  <c r="M92" i="58"/>
  <c r="F27" i="51"/>
  <c r="O69" i="47"/>
  <c r="M30" i="45"/>
  <c r="H64" i="52"/>
  <c r="H73" i="52"/>
  <c r="H75" i="52" s="1"/>
  <c r="H72" i="52" s="1"/>
  <c r="M72" i="52" s="1"/>
  <c r="H42" i="52"/>
  <c r="M42" i="52" s="1"/>
  <c r="M58" i="52"/>
  <c r="O87" i="52"/>
  <c r="M87" i="52"/>
  <c r="M22" i="51"/>
  <c r="O22" i="51"/>
  <c r="O33" i="46"/>
  <c r="H29" i="49"/>
  <c r="O45" i="45"/>
  <c r="F44" i="45"/>
  <c r="H44" i="45" s="1"/>
  <c r="M44" i="45" s="1"/>
  <c r="M51" i="49"/>
  <c r="O51" i="49"/>
  <c r="H48" i="48"/>
  <c r="F38" i="52"/>
  <c r="F37" i="52"/>
  <c r="D27" i="51"/>
  <c r="D75" i="51"/>
  <c r="H75" i="51" s="1"/>
  <c r="H77" i="51" s="1"/>
  <c r="M74" i="51"/>
  <c r="H80" i="41"/>
  <c r="D55" i="41"/>
  <c r="H55" i="41"/>
  <c r="H57" i="41" s="1"/>
  <c r="H54" i="41" s="1"/>
  <c r="D48" i="41"/>
  <c r="H48" i="41" s="1"/>
  <c r="H50" i="41" s="1"/>
  <c r="H47" i="41" s="1"/>
  <c r="D43" i="41"/>
  <c r="H43" i="41" s="1"/>
  <c r="H45" i="41" s="1"/>
  <c r="H42" i="41" s="1"/>
  <c r="D22" i="41"/>
  <c r="H22" i="41" s="1"/>
  <c r="H24" i="41" s="1"/>
  <c r="H21" i="41" s="1"/>
  <c r="O17" i="53"/>
  <c r="H10" i="53"/>
  <c r="K10" i="53" s="1"/>
  <c r="O21" i="56"/>
  <c r="H21" i="54"/>
  <c r="M45" i="45"/>
  <c r="L5" i="1" s="1"/>
  <c r="O89" i="51"/>
  <c r="O61" i="51"/>
  <c r="M61" i="51"/>
  <c r="M30" i="47"/>
  <c r="M33" i="46"/>
  <c r="L47" i="49"/>
  <c r="N47" i="49" s="1"/>
  <c r="O47" i="49" s="1"/>
  <c r="U38" i="51"/>
  <c r="V38" i="51" s="1"/>
  <c r="S25" i="50"/>
  <c r="M22" i="46"/>
  <c r="D29" i="44"/>
  <c r="D40" i="44"/>
  <c r="L28" i="41" s="1"/>
  <c r="N28" i="41" s="1"/>
  <c r="M8" i="53"/>
  <c r="N64" i="51"/>
  <c r="U23" i="50"/>
  <c r="V23" i="50" s="1"/>
  <c r="U39" i="51"/>
  <c r="V39" i="51" s="1"/>
  <c r="L45" i="49"/>
  <c r="L25" i="48"/>
  <c r="N25" i="48" s="1"/>
  <c r="L39" i="51"/>
  <c r="N39" i="51" s="1"/>
  <c r="O39" i="51" s="1"/>
  <c r="L38" i="51"/>
  <c r="N38" i="51" s="1"/>
  <c r="M47" i="49"/>
  <c r="M64" i="41"/>
  <c r="H19" i="41"/>
  <c r="H13" i="41" s="1"/>
  <c r="K13" i="41" s="1"/>
  <c r="M13" i="41" s="1"/>
  <c r="K29" i="41"/>
  <c r="M29" i="41" s="1"/>
  <c r="M34" i="46"/>
  <c r="H36" i="46"/>
  <c r="M36" i="46" s="1"/>
  <c r="O36" i="46"/>
  <c r="M34" i="45"/>
  <c r="O34" i="45"/>
  <c r="O86" i="51" l="1"/>
  <c r="O64" i="41"/>
  <c r="O30" i="45"/>
  <c r="H32" i="51"/>
  <c r="O32" i="51" s="1"/>
  <c r="M85" i="52"/>
  <c r="O85" i="52"/>
  <c r="H9" i="53"/>
  <c r="O16" i="53"/>
  <c r="J28" i="53"/>
  <c r="O33" i="56"/>
  <c r="O7" i="57"/>
  <c r="O13" i="57" s="1"/>
  <c r="O27" i="58"/>
  <c r="M32" i="58"/>
  <c r="H39" i="41"/>
  <c r="H35" i="41" s="1"/>
  <c r="K35" i="41" s="1"/>
  <c r="O35" i="41" s="1"/>
  <c r="H30" i="49"/>
  <c r="H79" i="49" s="1"/>
  <c r="M38" i="51"/>
  <c r="M39" i="51"/>
  <c r="M64" i="51"/>
  <c r="O27" i="47"/>
  <c r="M54" i="41"/>
  <c r="O54" i="41"/>
  <c r="M69" i="41"/>
  <c r="O69" i="41"/>
  <c r="H37" i="52"/>
  <c r="K37" i="52" s="1"/>
  <c r="H8" i="52"/>
  <c r="N27" i="41"/>
  <c r="O27" i="41" s="1"/>
  <c r="M27" i="41"/>
  <c r="O10" i="53"/>
  <c r="M10" i="53"/>
  <c r="O9" i="53"/>
  <c r="M9" i="53"/>
  <c r="E4" i="44"/>
  <c r="U41" i="51" s="1"/>
  <c r="U40" i="51"/>
  <c r="U24" i="50"/>
  <c r="W24" i="50" s="1"/>
  <c r="X24" i="50" s="1"/>
  <c r="M11" i="53"/>
  <c r="O11" i="53"/>
  <c r="N30" i="41"/>
  <c r="O30" i="41" s="1"/>
  <c r="M30" i="41"/>
  <c r="H18" i="45"/>
  <c r="D27" i="45" s="1"/>
  <c r="N40" i="51"/>
  <c r="O40" i="51" s="1"/>
  <c r="M40" i="51"/>
  <c r="W39" i="51"/>
  <c r="X39" i="51" s="1"/>
  <c r="L44" i="49"/>
  <c r="N44" i="49" s="1"/>
  <c r="O44" i="49" s="1"/>
  <c r="K52" i="52"/>
  <c r="M95" i="41"/>
  <c r="O38" i="51"/>
  <c r="W38" i="51"/>
  <c r="X38" i="51" s="1"/>
  <c r="O64" i="51"/>
  <c r="O61" i="47"/>
  <c r="H81" i="51"/>
  <c r="H82" i="51" s="1"/>
  <c r="H79" i="51" s="1"/>
  <c r="O79" i="51" s="1"/>
  <c r="O84" i="52"/>
  <c r="L31" i="50"/>
  <c r="N31" i="50" s="1"/>
  <c r="L36" i="50"/>
  <c r="N36" i="50" s="1"/>
  <c r="L33" i="50"/>
  <c r="N33" i="50" s="1"/>
  <c r="L29" i="50"/>
  <c r="N29" i="50" s="1"/>
  <c r="L28" i="50"/>
  <c r="N28" i="50" s="1"/>
  <c r="J35" i="50"/>
  <c r="J37" i="50"/>
  <c r="L37" i="50" s="1"/>
  <c r="N37" i="50" s="1"/>
  <c r="J32" i="50"/>
  <c r="L32" i="50" s="1"/>
  <c r="N32" i="50" s="1"/>
  <c r="J30" i="50"/>
  <c r="L30" i="50" s="1"/>
  <c r="N30" i="50" s="1"/>
  <c r="J34" i="50"/>
  <c r="L34" i="50" s="1"/>
  <c r="N34" i="50" s="1"/>
  <c r="O37" i="46"/>
  <c r="G13" i="46"/>
  <c r="S8" i="1" s="1"/>
  <c r="H70" i="52"/>
  <c r="H61" i="52" s="1"/>
  <c r="O8" i="53"/>
  <c r="U22" i="50"/>
  <c r="L27" i="50"/>
  <c r="M28" i="41"/>
  <c r="O94" i="41"/>
  <c r="S41" i="51"/>
  <c r="M15" i="56"/>
  <c r="M48" i="50"/>
  <c r="O74" i="51"/>
  <c r="H72" i="51"/>
  <c r="O48" i="45"/>
  <c r="H37" i="50"/>
  <c r="M37" i="50" s="1"/>
  <c r="O37" i="50"/>
  <c r="H36" i="50"/>
  <c r="H32" i="50"/>
  <c r="H33" i="50"/>
  <c r="O44" i="45"/>
  <c r="N13" i="46"/>
  <c r="H24" i="46" s="1"/>
  <c r="M24" i="46" s="1"/>
  <c r="O21" i="54"/>
  <c r="O23" i="54" s="1"/>
  <c r="N21" i="1" s="1"/>
  <c r="V24" i="50"/>
  <c r="H28" i="50"/>
  <c r="O28" i="50" s="1"/>
  <c r="W23" i="50"/>
  <c r="X23" i="50" s="1"/>
  <c r="H30" i="50"/>
  <c r="M30" i="50" s="1"/>
  <c r="H31" i="50"/>
  <c r="H29" i="50"/>
  <c r="M29" i="50" s="1"/>
  <c r="H34" i="50"/>
  <c r="M45" i="49"/>
  <c r="O37" i="48"/>
  <c r="H14" i="48"/>
  <c r="D18" i="48" s="1"/>
  <c r="H18" i="48" s="1"/>
  <c r="O38" i="56"/>
  <c r="N23" i="1" s="1"/>
  <c r="M38" i="56"/>
  <c r="M21" i="54"/>
  <c r="O47" i="50"/>
  <c r="H19" i="50"/>
  <c r="H80" i="49"/>
  <c r="H77" i="49" s="1"/>
  <c r="M77" i="49" s="1"/>
  <c r="M75" i="49"/>
  <c r="M74" i="49"/>
  <c r="N46" i="49"/>
  <c r="O46" i="49" s="1"/>
  <c r="N45" i="49"/>
  <c r="O45" i="49" s="1"/>
  <c r="M30" i="49"/>
  <c r="M31" i="41"/>
  <c r="H85" i="41"/>
  <c r="H79" i="41" s="1"/>
  <c r="O29" i="41"/>
  <c r="O28" i="41"/>
  <c r="O59" i="47"/>
  <c r="O24" i="47"/>
  <c r="G38" i="47"/>
  <c r="G36" i="47"/>
  <c r="D63" i="47" s="1"/>
  <c r="G63" i="47" s="1"/>
  <c r="G64" i="47" s="1"/>
  <c r="O68" i="47"/>
  <c r="M54" i="47"/>
  <c r="O54" i="47"/>
  <c r="G56" i="47"/>
  <c r="M22" i="47"/>
  <c r="O22" i="47"/>
  <c r="H13" i="46"/>
  <c r="I13" i="46"/>
  <c r="H19" i="46" s="1"/>
  <c r="D22" i="46" s="1"/>
  <c r="M48" i="45"/>
  <c r="O34" i="46"/>
  <c r="O47" i="41"/>
  <c r="M47" i="41"/>
  <c r="N48" i="49"/>
  <c r="O48" i="49" s="1"/>
  <c r="M48" i="49"/>
  <c r="D44" i="58"/>
  <c r="H44" i="58" s="1"/>
  <c r="H46" i="58" s="1"/>
  <c r="H43" i="58" s="1"/>
  <c r="D39" i="58"/>
  <c r="H39" i="58" s="1"/>
  <c r="H41" i="58" s="1"/>
  <c r="H38" i="58" s="1"/>
  <c r="D23" i="58"/>
  <c r="H23" i="58" s="1"/>
  <c r="H25" i="58" s="1"/>
  <c r="H22" i="58" s="1"/>
  <c r="N93" i="58"/>
  <c r="L93" i="58"/>
  <c r="M37" i="46"/>
  <c r="O13" i="41"/>
  <c r="O31" i="45"/>
  <c r="M31" i="45"/>
  <c r="O19" i="53"/>
  <c r="M19" i="53"/>
  <c r="O21" i="41"/>
  <c r="M21" i="41"/>
  <c r="O61" i="52"/>
  <c r="D79" i="52"/>
  <c r="H79" i="52" s="1"/>
  <c r="M61" i="52"/>
  <c r="K13" i="53"/>
  <c r="M12" i="53"/>
  <c r="M27" i="53" s="1"/>
  <c r="L26" i="53" s="1"/>
  <c r="O12" i="53"/>
  <c r="O27" i="53" s="1"/>
  <c r="N26" i="53" s="1"/>
  <c r="O16" i="49"/>
  <c r="H33" i="49"/>
  <c r="M16" i="49"/>
  <c r="M7" i="55"/>
  <c r="M14" i="55" s="1"/>
  <c r="L22" i="1" s="1"/>
  <c r="O7" i="55"/>
  <c r="O14" i="55" s="1"/>
  <c r="N22" i="1" s="1"/>
  <c r="M42" i="41"/>
  <c r="O42" i="41"/>
  <c r="O14" i="47"/>
  <c r="G16" i="47"/>
  <c r="M14" i="47"/>
  <c r="O67" i="47"/>
  <c r="G14" i="48"/>
  <c r="O72" i="52"/>
  <c r="M27" i="58"/>
  <c r="H20" i="52"/>
  <c r="M35" i="41"/>
  <c r="H80" i="52"/>
  <c r="H77" i="52" s="1"/>
  <c r="H20" i="58"/>
  <c r="H13" i="58" s="1"/>
  <c r="U25" i="50"/>
  <c r="H49" i="48"/>
  <c r="H46" i="48" s="1"/>
  <c r="O70" i="58"/>
  <c r="M70" i="58"/>
  <c r="O30" i="49"/>
  <c r="M44" i="51"/>
  <c r="M23" i="54" l="1"/>
  <c r="J21" i="1"/>
  <c r="L21" i="1" s="1"/>
  <c r="M79" i="51"/>
  <c r="O92" i="51"/>
  <c r="N91" i="51" s="1"/>
  <c r="M32" i="51"/>
  <c r="O30" i="50"/>
  <c r="N27" i="50"/>
  <c r="O27" i="50" s="1"/>
  <c r="M27" i="50"/>
  <c r="M92" i="51"/>
  <c r="L91" i="51" s="1"/>
  <c r="H46" i="46"/>
  <c r="O46" i="46" s="1"/>
  <c r="M44" i="49"/>
  <c r="W22" i="50"/>
  <c r="X22" i="50" s="1"/>
  <c r="V22" i="50"/>
  <c r="L35" i="50"/>
  <c r="N35" i="50" s="1"/>
  <c r="H39" i="52"/>
  <c r="K39" i="52" s="1"/>
  <c r="H40" i="52"/>
  <c r="K40" i="52" s="1"/>
  <c r="H38" i="52"/>
  <c r="K38" i="52" s="1"/>
  <c r="M32" i="50"/>
  <c r="V40" i="51"/>
  <c r="W40" i="51"/>
  <c r="X40" i="51" s="1"/>
  <c r="M36" i="50"/>
  <c r="O36" i="50"/>
  <c r="M34" i="50"/>
  <c r="M35" i="50"/>
  <c r="O35" i="50"/>
  <c r="M33" i="50"/>
  <c r="O33" i="50"/>
  <c r="O24" i="46"/>
  <c r="M28" i="50"/>
  <c r="O29" i="50"/>
  <c r="M31" i="50"/>
  <c r="O31" i="50"/>
  <c r="O32" i="50"/>
  <c r="O34" i="50"/>
  <c r="H7" i="50"/>
  <c r="M41" i="50" s="1"/>
  <c r="L6" i="1" s="1"/>
  <c r="O77" i="49"/>
  <c r="D19" i="48"/>
  <c r="H19" i="48" s="1"/>
  <c r="O23" i="48" s="1"/>
  <c r="M59" i="47"/>
  <c r="M33" i="45"/>
  <c r="O33" i="45"/>
  <c r="M79" i="41"/>
  <c r="O79" i="41"/>
  <c r="D89" i="41"/>
  <c r="H89" i="41" s="1"/>
  <c r="H90" i="41" s="1"/>
  <c r="H87" i="41" s="1"/>
  <c r="H26" i="48"/>
  <c r="H25" i="48"/>
  <c r="O36" i="47"/>
  <c r="M36" i="47"/>
  <c r="O38" i="47"/>
  <c r="M38" i="47"/>
  <c r="O56" i="47"/>
  <c r="M56" i="47"/>
  <c r="I35" i="1" s="1"/>
  <c r="O19" i="46"/>
  <c r="M17" i="46"/>
  <c r="L8" i="1" s="1"/>
  <c r="O17" i="46"/>
  <c r="M19" i="46"/>
  <c r="M46" i="48"/>
  <c r="O46" i="48"/>
  <c r="O77" i="52"/>
  <c r="M77" i="52"/>
  <c r="F25" i="52"/>
  <c r="H25" i="52" s="1"/>
  <c r="H30" i="52" s="1"/>
  <c r="M20" i="52"/>
  <c r="O20" i="52"/>
  <c r="M38" i="49"/>
  <c r="L13" i="1" s="1"/>
  <c r="O38" i="49"/>
  <c r="V25" i="50"/>
  <c r="W25" i="50"/>
  <c r="X25" i="50" s="1"/>
  <c r="O64" i="47"/>
  <c r="M64" i="47"/>
  <c r="V41" i="51"/>
  <c r="W41" i="51"/>
  <c r="X41" i="51" s="1"/>
  <c r="H28" i="48"/>
  <c r="M16" i="47"/>
  <c r="O16" i="47"/>
  <c r="O22" i="58"/>
  <c r="M22" i="58"/>
  <c r="O33" i="49"/>
  <c r="M33" i="49"/>
  <c r="M38" i="58"/>
  <c r="O38" i="58"/>
  <c r="O20" i="58"/>
  <c r="M13" i="58"/>
  <c r="M20" i="58"/>
  <c r="D82" i="58"/>
  <c r="H82" i="58" s="1"/>
  <c r="H83" i="58" s="1"/>
  <c r="H80" i="58" s="1"/>
  <c r="O43" i="58"/>
  <c r="M43" i="58"/>
  <c r="L10" i="1" l="1"/>
  <c r="M46" i="46"/>
  <c r="M32" i="45"/>
  <c r="M50" i="45" s="1"/>
  <c r="O32" i="45"/>
  <c r="O50" i="45" s="1"/>
  <c r="M42" i="46"/>
  <c r="L41" i="46" s="1"/>
  <c r="O42" i="46"/>
  <c r="N40" i="46" s="1"/>
  <c r="O7" i="50"/>
  <c r="M7" i="50"/>
  <c r="O41" i="50"/>
  <c r="D22" i="50"/>
  <c r="H22" i="50" s="1"/>
  <c r="M22" i="50" s="1"/>
  <c r="D52" i="50"/>
  <c r="H52" i="50" s="1"/>
  <c r="H53" i="50" s="1"/>
  <c r="H50" i="50" s="1"/>
  <c r="O50" i="50" s="1"/>
  <c r="M85" i="49"/>
  <c r="L84" i="49" s="1"/>
  <c r="M23" i="48"/>
  <c r="H21" i="48"/>
  <c r="O21" i="48" s="1"/>
  <c r="M21" i="48"/>
  <c r="M75" i="47"/>
  <c r="L73" i="47" s="1"/>
  <c r="O75" i="47"/>
  <c r="N73" i="47" s="1"/>
  <c r="O10" i="1" s="1"/>
  <c r="O85" i="49"/>
  <c r="O87" i="41"/>
  <c r="O100" i="41" s="1"/>
  <c r="N99" i="41" s="1"/>
  <c r="M87" i="41"/>
  <c r="M100" i="41" s="1"/>
  <c r="M26" i="48"/>
  <c r="O26" i="48"/>
  <c r="M25" i="48"/>
  <c r="O25" i="48"/>
  <c r="L40" i="46"/>
  <c r="M80" i="58"/>
  <c r="O80" i="58"/>
  <c r="O40" i="48"/>
  <c r="M40" i="48"/>
  <c r="E30" i="48"/>
  <c r="H30" i="48" s="1"/>
  <c r="E33" i="48"/>
  <c r="H33" i="48" s="1"/>
  <c r="H35" i="48" s="1"/>
  <c r="O28" i="48"/>
  <c r="M28" i="48"/>
  <c r="M30" i="52"/>
  <c r="M90" i="52" s="1"/>
  <c r="L89" i="52" s="1"/>
  <c r="O30" i="52"/>
  <c r="O90" i="52" s="1"/>
  <c r="N89" i="52" s="1"/>
  <c r="O31" i="48"/>
  <c r="M31" i="48"/>
  <c r="N5" i="1" l="1"/>
  <c r="O5" i="1"/>
  <c r="K30" i="48"/>
  <c r="M30" i="48" s="1"/>
  <c r="N84" i="49"/>
  <c r="O13" i="1" s="1"/>
  <c r="N13" i="1"/>
  <c r="D43" i="48"/>
  <c r="H43" i="48" s="1"/>
  <c r="M43" i="48" s="1"/>
  <c r="N41" i="46"/>
  <c r="O22" i="50"/>
  <c r="O60" i="50" s="1"/>
  <c r="N59" i="50" s="1"/>
  <c r="O6" i="1" s="1"/>
  <c r="M50" i="50"/>
  <c r="M60" i="50" s="1"/>
  <c r="L59" i="50" s="1"/>
  <c r="M22" i="48"/>
  <c r="L74" i="47"/>
  <c r="N74" i="47"/>
  <c r="L99" i="41"/>
  <c r="N10" i="1"/>
  <c r="O30" i="48"/>
  <c r="M35" i="48"/>
  <c r="O35" i="48"/>
  <c r="O22" i="48" l="1"/>
  <c r="O43" i="48"/>
  <c r="N6" i="1"/>
  <c r="O54" i="48"/>
  <c r="N11" i="1" s="1"/>
  <c r="M54" i="48"/>
  <c r="L53" i="48" s="1"/>
  <c r="N33" i="1" l="1"/>
  <c r="L52" i="48"/>
  <c r="N53" i="48"/>
  <c r="N52" i="48"/>
  <c r="O11" i="1" s="1"/>
  <c r="N34" i="1" l="1"/>
  <c r="N36" i="1" s="1"/>
  <c r="S33" i="1"/>
  <c r="S34" i="1" s="1"/>
  <c r="N37" i="1" l="1"/>
  <c r="S36" i="1"/>
  <c r="S3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hitesh</author>
  </authors>
  <commentList>
    <comment ref="V15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Instruction:</t>
        </r>
        <r>
          <rPr>
            <sz val="8"/>
            <color indexed="81"/>
            <rFont val="Tahoma"/>
            <family val="2"/>
          </rPr>
          <t xml:space="preserve">
0.5 Test/ Day, if Test required
</t>
        </r>
      </text>
    </comment>
  </commentList>
</comments>
</file>

<file path=xl/sharedStrings.xml><?xml version="1.0" encoding="utf-8"?>
<sst xmlns="http://schemas.openxmlformats.org/spreadsheetml/2006/main" count="1097" uniqueCount="380">
  <si>
    <t>CONCRETE CONSTRUCTION SYSTEMS P/L</t>
  </si>
  <si>
    <t>PROPOSED BUILDING WORKS</t>
  </si>
  <si>
    <t>261-263 Balwyn Road, Balwyn North</t>
  </si>
  <si>
    <t>ESTIMATE - V1</t>
  </si>
  <si>
    <t>PACKAGE: Concrete</t>
  </si>
  <si>
    <t>Cost</t>
  </si>
  <si>
    <t>Tender</t>
  </si>
  <si>
    <t>Rate</t>
  </si>
  <si>
    <t>Units</t>
  </si>
  <si>
    <t>Refined</t>
  </si>
  <si>
    <t>m3</t>
  </si>
  <si>
    <t>m</t>
  </si>
  <si>
    <t>m2</t>
  </si>
  <si>
    <t>GF 150 SLABS</t>
  </si>
  <si>
    <t>200 each place</t>
  </si>
  <si>
    <t>RAMP</t>
  </si>
  <si>
    <t>STRUCTURAL STEEL</t>
  </si>
  <si>
    <t>36 posts X 200 each</t>
  </si>
  <si>
    <t>GROUND FLOOR SUSPENDED SLAB</t>
  </si>
  <si>
    <t>THIRD FLOOR SUSPENED SLAB</t>
  </si>
  <si>
    <t>AFS REDI WALLS</t>
  </si>
  <si>
    <t>big diffrence</t>
  </si>
  <si>
    <t>AFS LOGIC WALLS</t>
  </si>
  <si>
    <t>m rise</t>
  </si>
  <si>
    <t>Includes front basment ramp stairs</t>
  </si>
  <si>
    <t>HOBS</t>
  </si>
  <si>
    <t>TOTAL</t>
  </si>
  <si>
    <t>PROFIT</t>
  </si>
  <si>
    <t>MARGIN</t>
  </si>
  <si>
    <t>Steel Reinforcement</t>
  </si>
  <si>
    <t>kg/m</t>
  </si>
  <si>
    <t>Stock ($/m)</t>
  </si>
  <si>
    <t>Processed ($/m)</t>
  </si>
  <si>
    <t>Prefabrication ($/m)</t>
  </si>
  <si>
    <t>m/Tonne</t>
  </si>
  <si>
    <t>STOCK</t>
  </si>
  <si>
    <t>PROCESSED</t>
  </si>
  <si>
    <t xml:space="preserve">PREFAB </t>
  </si>
  <si>
    <t>N10</t>
  </si>
  <si>
    <t>N12</t>
  </si>
  <si>
    <t>N16</t>
  </si>
  <si>
    <t>N20</t>
  </si>
  <si>
    <t>N24</t>
  </si>
  <si>
    <t>N28</t>
  </si>
  <si>
    <t>N32</t>
  </si>
  <si>
    <t>N36</t>
  </si>
  <si>
    <t>N40</t>
  </si>
  <si>
    <t>Mesh</t>
  </si>
  <si>
    <t>kg/sheet</t>
  </si>
  <si>
    <t>$/sheet</t>
  </si>
  <si>
    <t>$/m2                   Inc. Wastage</t>
  </si>
  <si>
    <t>Sheets/Tonne</t>
  </si>
  <si>
    <t>SL52</t>
  </si>
  <si>
    <t>SL62</t>
  </si>
  <si>
    <t>SL72</t>
  </si>
  <si>
    <t>SL82</t>
  </si>
  <si>
    <t>SL92</t>
  </si>
  <si>
    <t>SL102</t>
  </si>
  <si>
    <t>SL81</t>
  </si>
  <si>
    <t>RL718</t>
  </si>
  <si>
    <t>RL818</t>
  </si>
  <si>
    <t>RL918</t>
  </si>
  <si>
    <t>RL1018</t>
  </si>
  <si>
    <t>RL1118</t>
  </si>
  <si>
    <t>RL1218</t>
  </si>
  <si>
    <t>Trench Mesh</t>
  </si>
  <si>
    <t>kg/length</t>
  </si>
  <si>
    <t>$/length</t>
  </si>
  <si>
    <t>$/m Inc. Wastage</t>
  </si>
  <si>
    <t>3 L8 TM</t>
  </si>
  <si>
    <t>4 L8 TM</t>
  </si>
  <si>
    <t>5 L8 TM</t>
  </si>
  <si>
    <t>6 L8 TM</t>
  </si>
  <si>
    <t>3 L11 TM</t>
  </si>
  <si>
    <t>4 L11 TM</t>
  </si>
  <si>
    <t>5 L11 TM</t>
  </si>
  <si>
    <t>6 L11TM</t>
  </si>
  <si>
    <t>3 L12 TM</t>
  </si>
  <si>
    <t>4 L12 TM</t>
  </si>
  <si>
    <t>5 L12 TM</t>
  </si>
  <si>
    <t>6 L12 TM</t>
  </si>
  <si>
    <t>3 L16 TM</t>
  </si>
  <si>
    <t>4 L16 TM</t>
  </si>
  <si>
    <t>5 L16 TM</t>
  </si>
  <si>
    <t>6 L16 TM</t>
  </si>
  <si>
    <t>Concrete</t>
  </si>
  <si>
    <t>Mpa</t>
  </si>
  <si>
    <t>$/m3</t>
  </si>
  <si>
    <t>15 MPa</t>
  </si>
  <si>
    <t>20 MPa</t>
  </si>
  <si>
    <t>25 MPa</t>
  </si>
  <si>
    <t>32 MPa</t>
  </si>
  <si>
    <t>40 MPa</t>
  </si>
  <si>
    <t>50 MPa</t>
  </si>
  <si>
    <t>Shotcrete</t>
  </si>
  <si>
    <t>S32 MPa</t>
  </si>
  <si>
    <t>S40 MPa</t>
  </si>
  <si>
    <t>S50 MPa</t>
  </si>
  <si>
    <t>No.</t>
  </si>
  <si>
    <t>Item</t>
  </si>
  <si>
    <t>Dim 1</t>
  </si>
  <si>
    <t>Dim 2</t>
  </si>
  <si>
    <t>Dim 3</t>
  </si>
  <si>
    <t xml:space="preserve">Unit  </t>
  </si>
  <si>
    <t xml:space="preserve">Quantity  </t>
  </si>
  <si>
    <t>Lab</t>
  </si>
  <si>
    <t>Mat</t>
  </si>
  <si>
    <t>Other</t>
  </si>
  <si>
    <t xml:space="preserve">Rate $  </t>
  </si>
  <si>
    <t xml:space="preserve">Total $  </t>
  </si>
  <si>
    <t>BULK EXCAVATION</t>
  </si>
  <si>
    <t/>
  </si>
  <si>
    <t>Site Are</t>
  </si>
  <si>
    <t>Basement Envelope</t>
  </si>
  <si>
    <t>Total Volumn</t>
  </si>
  <si>
    <t>ramp</t>
  </si>
  <si>
    <t>Areated Volume</t>
  </si>
  <si>
    <t xml:space="preserve"> </t>
  </si>
  <si>
    <t>Volume Breakdown</t>
  </si>
  <si>
    <t>Vegitation</t>
  </si>
  <si>
    <t>Mixed Fill -  Comtaminated with building material</t>
  </si>
  <si>
    <t>Silty/Sand FILL</t>
  </si>
  <si>
    <t>Silty SAND</t>
  </si>
  <si>
    <t>Compactable Siltstone</t>
  </si>
  <si>
    <t>Plant</t>
  </si>
  <si>
    <t>Loading/Unloading of Plant</t>
  </si>
  <si>
    <t>Mobilisation Each Way</t>
  </si>
  <si>
    <t>Spoil Moved per day</t>
  </si>
  <si>
    <t>Days</t>
  </si>
  <si>
    <t>Allow</t>
  </si>
  <si>
    <t>Equipment</t>
  </si>
  <si>
    <t>20T Ex. &amp; Operator</t>
  </si>
  <si>
    <t>Hrs</t>
  </si>
  <si>
    <t>14T Ex. &amp; Opertor</t>
  </si>
  <si>
    <t>Labour Cost</t>
  </si>
  <si>
    <t>men</t>
  </si>
  <si>
    <t>hrs</t>
  </si>
  <si>
    <t>days</t>
  </si>
  <si>
    <t>Hours</t>
  </si>
  <si>
    <t>Labour</t>
  </si>
  <si>
    <t>SUB-TOTAL $</t>
  </si>
  <si>
    <t>Comments</t>
  </si>
  <si>
    <t>Rates for wet material to be confirmed</t>
  </si>
  <si>
    <t>BORED PIERS</t>
  </si>
  <si>
    <t>Info</t>
  </si>
  <si>
    <t>TYPE</t>
  </si>
  <si>
    <t>Dia</t>
  </si>
  <si>
    <t>L</t>
  </si>
  <si>
    <t>QTY</t>
  </si>
  <si>
    <t>Spoil</t>
  </si>
  <si>
    <t>Reo</t>
  </si>
  <si>
    <t>Ligs</t>
  </si>
  <si>
    <t>Steel (t)</t>
  </si>
  <si>
    <t>3 &amp; 4</t>
  </si>
  <si>
    <t>TOTALS</t>
  </si>
  <si>
    <t>Spoil Removal</t>
  </si>
  <si>
    <t>Truck Fees</t>
  </si>
  <si>
    <t>Reinforcement</t>
  </si>
  <si>
    <t>t</t>
  </si>
  <si>
    <t>Duration</t>
  </si>
  <si>
    <t>Piers</t>
  </si>
  <si>
    <t>Pier/day</t>
  </si>
  <si>
    <t>Total Duration</t>
  </si>
  <si>
    <t>Plant, Equipment &amp; Labour</t>
  </si>
  <si>
    <t>Drill Rig + Operator</t>
  </si>
  <si>
    <t>Excavtor Rig + Operator</t>
  </si>
  <si>
    <t>Excavator + Operator</t>
  </si>
  <si>
    <t>Site Supervisor</t>
  </si>
  <si>
    <t>Mobilisation</t>
  </si>
  <si>
    <t>Rates per pier</t>
  </si>
  <si>
    <t>Rates per m</t>
  </si>
  <si>
    <t>CFA Price</t>
  </si>
  <si>
    <t>CFA</t>
  </si>
  <si>
    <t>CAPPING BEAM</t>
  </si>
  <si>
    <t>Sprayed Capping Beam</t>
  </si>
  <si>
    <t>Sheet Flooring</t>
  </si>
  <si>
    <t>Formwork Ply</t>
  </si>
  <si>
    <t>Formwork Pickets</t>
  </si>
  <si>
    <t>Per Picket</t>
  </si>
  <si>
    <t>Formwork Fixing</t>
  </si>
  <si>
    <t>Formwork Chairs</t>
  </si>
  <si>
    <t>Formwork Labour</t>
  </si>
  <si>
    <t>excavation</t>
  </si>
  <si>
    <t>Spraying</t>
  </si>
  <si>
    <t>CB5</t>
  </si>
  <si>
    <t>Formed Capping Beam</t>
  </si>
  <si>
    <t>CB4 &amp; CB3</t>
  </si>
  <si>
    <t>CB2</t>
  </si>
  <si>
    <t>SF4 &amp; SF5</t>
  </si>
  <si>
    <t>M</t>
  </si>
  <si>
    <t>Blinding Layer</t>
  </si>
  <si>
    <t xml:space="preserve"> Blinding Screed</t>
  </si>
  <si>
    <t>Formwork Shutters</t>
  </si>
  <si>
    <t>per day</t>
  </si>
  <si>
    <t>Screed</t>
  </si>
  <si>
    <t>Ligatures</t>
  </si>
  <si>
    <t>kg/lig</t>
  </si>
  <si>
    <t>CTS</t>
  </si>
  <si>
    <t>Excavator</t>
  </si>
  <si>
    <t>Steel Labour</t>
  </si>
  <si>
    <t>day</t>
  </si>
  <si>
    <t>l/m</t>
  </si>
  <si>
    <t>Starter Bars</t>
  </si>
  <si>
    <t>Bars</t>
  </si>
  <si>
    <t>m3/m</t>
  </si>
  <si>
    <t>Water Stop</t>
  </si>
  <si>
    <t>Swell Seal</t>
  </si>
  <si>
    <t>Misc</t>
  </si>
  <si>
    <t>Steps &amp; Corners</t>
  </si>
  <si>
    <t>Rates per m3</t>
  </si>
  <si>
    <t>SHOTCRETE</t>
  </si>
  <si>
    <t>ELEVATION</t>
  </si>
  <si>
    <t>H</t>
  </si>
  <si>
    <t>BP</t>
  </si>
  <si>
    <t>FRONT</t>
  </si>
  <si>
    <t>REAR</t>
  </si>
  <si>
    <t>STACKER</t>
  </si>
  <si>
    <t>BP2</t>
  </si>
  <si>
    <t>Concrete Supply</t>
  </si>
  <si>
    <t>Xypex Additive</t>
  </si>
  <si>
    <t>Shotcrete &amp; Trowel</t>
  </si>
  <si>
    <t>Steel Mesh</t>
  </si>
  <si>
    <t>Steel Mesh Labour</t>
  </si>
  <si>
    <t>Dowel Bars</t>
  </si>
  <si>
    <t>Dowels</t>
  </si>
  <si>
    <t>Supply</t>
  </si>
  <si>
    <t>Strip Drain</t>
  </si>
  <si>
    <t>Chemset</t>
  </si>
  <si>
    <t>ml</t>
  </si>
  <si>
    <t>ml/tube</t>
  </si>
  <si>
    <t>Tubes</t>
  </si>
  <si>
    <t>Corner</t>
  </si>
  <si>
    <t>Waterstop</t>
  </si>
  <si>
    <t>Detailed Excavation</t>
  </si>
  <si>
    <t>3.5T</t>
  </si>
  <si>
    <t>Pump</t>
  </si>
  <si>
    <t>$</t>
  </si>
  <si>
    <t>misc</t>
  </si>
  <si>
    <t>Misc.</t>
  </si>
  <si>
    <t>Shotcrete Min. Loading</t>
  </si>
  <si>
    <t>RAFT SLAB</t>
  </si>
  <si>
    <t>Area</t>
  </si>
  <si>
    <t>Garage Slab</t>
  </si>
  <si>
    <t>Detail excavation</t>
  </si>
  <si>
    <t>EB2/EB3/IB1</t>
  </si>
  <si>
    <t>EB1</t>
  </si>
  <si>
    <t>EB4/IB3</t>
  </si>
  <si>
    <t>IB2</t>
  </si>
  <si>
    <t>IB4</t>
  </si>
  <si>
    <t>SL82mesh</t>
  </si>
  <si>
    <t>Bar reinforcement</t>
  </si>
  <si>
    <t>50mm sand layer</t>
  </si>
  <si>
    <t>0.2mm waterproof membrane</t>
  </si>
  <si>
    <t>Finish - Burnish</t>
  </si>
  <si>
    <t>Sealer</t>
  </si>
  <si>
    <t>Ableflex</t>
  </si>
  <si>
    <t>Formwork to slab edge</t>
  </si>
  <si>
    <t>Saw cut joint including reo &amp; sealant</t>
  </si>
  <si>
    <t>slab</t>
  </si>
  <si>
    <t>SLAB</t>
  </si>
  <si>
    <t>Prep.</t>
  </si>
  <si>
    <t>Pour Day</t>
  </si>
  <si>
    <t>Mass Blinding Concrete</t>
  </si>
  <si>
    <t>Exavation and concrete</t>
  </si>
  <si>
    <t>Excluded</t>
  </si>
  <si>
    <t>WAFFLE SLAB</t>
  </si>
  <si>
    <t>Slab</t>
  </si>
  <si>
    <t xml:space="preserve">Concrete </t>
  </si>
  <si>
    <t>R6</t>
  </si>
  <si>
    <t>INT</t>
  </si>
  <si>
    <t>PF1</t>
  </si>
  <si>
    <t>PF2</t>
  </si>
  <si>
    <t>PF3</t>
  </si>
  <si>
    <t>misc - slab</t>
  </si>
  <si>
    <t>SL82 mesh</t>
  </si>
  <si>
    <t>4-L12TM</t>
  </si>
  <si>
    <t>3-L11</t>
  </si>
  <si>
    <t>Kg</t>
  </si>
  <si>
    <t>N12 int</t>
  </si>
  <si>
    <t>roundup</t>
  </si>
  <si>
    <t>400 x 20</t>
  </si>
  <si>
    <t>Pods</t>
  </si>
  <si>
    <t>qty</t>
  </si>
  <si>
    <t>INFILL SLABS</t>
  </si>
  <si>
    <t>Infill in Basement</t>
  </si>
  <si>
    <t>Stacker</t>
  </si>
  <si>
    <t>DDJ</t>
  </si>
  <si>
    <t>FOOTINGS AND DETAILED EXCAVATION</t>
  </si>
  <si>
    <t>Excavation for pad footing</t>
  </si>
  <si>
    <t>SF1</t>
  </si>
  <si>
    <t>SF2</t>
  </si>
  <si>
    <t>SF3</t>
  </si>
  <si>
    <t>SF4</t>
  </si>
  <si>
    <t>F1</t>
  </si>
  <si>
    <t>F2</t>
  </si>
  <si>
    <t>RW1</t>
  </si>
  <si>
    <t>RW4</t>
  </si>
  <si>
    <t>RW5</t>
  </si>
  <si>
    <t>TRENCH MESH</t>
  </si>
  <si>
    <t>MESH</t>
  </si>
  <si>
    <t>LOOSE BARS</t>
  </si>
  <si>
    <t>BAR GRID</t>
  </si>
  <si>
    <t>T&amp;B</t>
  </si>
  <si>
    <t>FIRST FLOOR SUSPENDED SLAB</t>
  </si>
  <si>
    <t>General</t>
  </si>
  <si>
    <t>Slab area</t>
  </si>
  <si>
    <t>Note</t>
  </si>
  <si>
    <t>Off Form Formwork</t>
  </si>
  <si>
    <t>Bondeck</t>
  </si>
  <si>
    <t>-</t>
  </si>
  <si>
    <t>Edge Form</t>
  </si>
  <si>
    <t>Chairs</t>
  </si>
  <si>
    <t>Additional Bars</t>
  </si>
  <si>
    <t>Total</t>
  </si>
  <si>
    <t>Concrete Works</t>
  </si>
  <si>
    <t>250 Bondek Slab</t>
  </si>
  <si>
    <t>300 Bondek Slab</t>
  </si>
  <si>
    <t>400 Bondek Slab</t>
  </si>
  <si>
    <t>Band Beam</t>
  </si>
  <si>
    <t>Placement and Finish</t>
  </si>
  <si>
    <t>Truck</t>
  </si>
  <si>
    <t>steel fixing</t>
  </si>
  <si>
    <t>SECOND FLOOR SUSPENDED SLAB</t>
  </si>
  <si>
    <t>2BB1 Band Beam</t>
  </si>
  <si>
    <t>Sides</t>
  </si>
  <si>
    <t>Side of Slab</t>
  </si>
  <si>
    <t>Slab Top Steel</t>
  </si>
  <si>
    <t>Slab Bottom Steel</t>
  </si>
  <si>
    <t>BANDBEAM</t>
  </si>
  <si>
    <t>1BB1</t>
  </si>
  <si>
    <t>1BB2</t>
  </si>
  <si>
    <t>LIGS</t>
  </si>
  <si>
    <t>225 Bondek Slab</t>
  </si>
  <si>
    <t>COLUMNS</t>
  </si>
  <si>
    <t>CC1</t>
  </si>
  <si>
    <t>Fromwork</t>
  </si>
  <si>
    <t>Starter Bar - Bottom</t>
  </si>
  <si>
    <t>stacker</t>
  </si>
  <si>
    <t>basement to gr</t>
  </si>
  <si>
    <t>gr to 1st</t>
  </si>
  <si>
    <t>1st to 2nd</t>
  </si>
  <si>
    <t>2nd to roof</t>
  </si>
  <si>
    <t>STAIRS</t>
  </si>
  <si>
    <t>Basement to Ground</t>
  </si>
  <si>
    <t>Ground to Landscaped Area</t>
  </si>
  <si>
    <t>First to Second</t>
  </si>
  <si>
    <t>second to roof</t>
  </si>
  <si>
    <t>MISCELLANEOUS WORKS</t>
  </si>
  <si>
    <t>Items not measured in detail</t>
  </si>
  <si>
    <t>Allowance for MINOR items NOT measured, etc</t>
  </si>
  <si>
    <t>Sampling &amp; testing of concrete</t>
  </si>
  <si>
    <t>Dewatering</t>
  </si>
  <si>
    <t>Say</t>
  </si>
  <si>
    <t>Site Supervision</t>
  </si>
  <si>
    <t>Site Foreman - non productive time</t>
  </si>
  <si>
    <t>Material handling requirements incl to/from site</t>
  </si>
  <si>
    <t>trips</t>
  </si>
  <si>
    <t>Misc Labour</t>
  </si>
  <si>
    <t>Hoisting of materials to various floors</t>
  </si>
  <si>
    <t>n/a</t>
  </si>
  <si>
    <t>Crane</t>
  </si>
  <si>
    <t>wks</t>
  </si>
  <si>
    <t>SITE CLEANING</t>
  </si>
  <si>
    <t>Site clean after each work shift</t>
  </si>
  <si>
    <t>END OF SECTION</t>
  </si>
  <si>
    <t>Materials</t>
  </si>
  <si>
    <t>SubContractors</t>
  </si>
  <si>
    <t>Sub Total</t>
  </si>
  <si>
    <t>Labour Hours</t>
  </si>
  <si>
    <t>CURVED BEAM</t>
  </si>
  <si>
    <t>CROSS OVER</t>
  </si>
  <si>
    <t>INSITU BALUSTRADE</t>
  </si>
  <si>
    <t>RETAINING FOOTINGS</t>
  </si>
  <si>
    <t>STAIRS AND LANDING</t>
  </si>
  <si>
    <t>PRAM CROSS OVER</t>
  </si>
  <si>
    <t>LIFT LIDS</t>
  </si>
  <si>
    <t>WATERPROOFING</t>
  </si>
  <si>
    <t>CONTINGENCY</t>
  </si>
  <si>
    <t>–</t>
  </si>
  <si>
    <t>AFS Logic Walls WALLS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</si>
</sst>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6" formatCode="&quot;$&quot;#,##0;[Red]\-&quot;$&quot;#,##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_);_(&quot;$&quot;* \(#,##0\);_(&quot;$&quot;* &quot;-&quot;??_);_(@_)"/>
    <numFmt numFmtId="167" formatCode="_(* #,##0.0_);_(* \(#,##0.0\);_(* &quot;-&quot;??_);_(@_)"/>
    <numFmt numFmtId="168" formatCode="_(* #,##0_);_(* \(#,##0\);_(* &quot;-&quot;??_);_(@_)"/>
    <numFmt numFmtId="169" formatCode="0.0%"/>
    <numFmt numFmtId="170" formatCode="_-* #,##0.0_-;\-* #,##0.0_-;_-* &quot;-&quot;??_-;_-@_-"/>
    <numFmt numFmtId="171" formatCode="_-* #,##0_-;\-* #,##0_-;_-* &quot;-&quot;??_-;_-@_-"/>
    <numFmt numFmtId="172" formatCode="0.000"/>
    <numFmt numFmtId="173" formatCode="0.0"/>
    <numFmt numFmtId="174" formatCode="_(* #,##0.000_);_(* \(#,##0.000\);_(* &quot;-&quot;??_);_(@_)"/>
    <numFmt numFmtId="175" formatCode="_-* #,##0.0_-;\-* #,##0.0_-;_-* &quot;-&quot;?_-;_-@_-"/>
  </numFmts>
  <fonts count="56">
    <font>
      <sz val="12"/>
      <name val="TimesNewRomanPS"/>
    </font>
    <font>
      <sz val="12"/>
      <name val="TimesNewRomanPS"/>
    </font>
    <font>
      <sz val="10"/>
      <name val="Arial Narrow"/>
      <family val="2"/>
    </font>
    <font>
      <sz val="12"/>
      <name val="Arial Narrow"/>
      <family val="2"/>
    </font>
    <font>
      <b/>
      <u/>
      <sz val="12"/>
      <name val="Arial Narrow"/>
      <family val="2"/>
    </font>
    <font>
      <u/>
      <sz val="12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</font>
    <font>
      <u/>
      <sz val="10"/>
      <name val="Arial Narrow"/>
      <family val="2"/>
    </font>
    <font>
      <sz val="8"/>
      <name val="TimesNewRomanPS"/>
    </font>
    <font>
      <b/>
      <sz val="12"/>
      <name val="Arial Narrow"/>
      <family val="2"/>
    </font>
    <font>
      <sz val="9"/>
      <name val="Arial Narrow"/>
      <family val="2"/>
    </font>
    <font>
      <b/>
      <u/>
      <sz val="10"/>
      <name val="Calibri"/>
      <family val="2"/>
    </font>
    <font>
      <sz val="10"/>
      <name val="Calibri"/>
      <family val="2"/>
    </font>
    <font>
      <b/>
      <u/>
      <sz val="10"/>
      <name val="Arial Narrow"/>
      <family val="2"/>
    </font>
    <font>
      <b/>
      <sz val="10"/>
      <name val="Calibri"/>
      <family val="2"/>
    </font>
    <font>
      <i/>
      <sz val="10"/>
      <name val="Arial Narrow"/>
      <family val="2"/>
    </font>
    <font>
      <u/>
      <sz val="10"/>
      <name val="Calibri"/>
      <family val="2"/>
    </font>
    <font>
      <b/>
      <sz val="11"/>
      <name val="Calibri"/>
      <family val="2"/>
    </font>
    <font>
      <b/>
      <u/>
      <sz val="11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TimesNewRomanPS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0"/>
      <name val="Calibri"/>
      <family val="2"/>
      <scheme val="minor"/>
    </font>
    <font>
      <sz val="7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u/>
      <sz val="12"/>
      <name val="Calibri"/>
      <family val="2"/>
      <scheme val="minor"/>
    </font>
    <font>
      <u/>
      <sz val="10"/>
      <name val="Calibri"/>
      <family val="2"/>
      <scheme val="minor"/>
    </font>
    <font>
      <u/>
      <sz val="9"/>
      <name val="Calibri"/>
      <family val="2"/>
      <scheme val="minor"/>
    </font>
    <font>
      <b/>
      <u/>
      <sz val="9"/>
      <name val="Calibri"/>
      <family val="2"/>
      <scheme val="minor"/>
    </font>
    <font>
      <sz val="10"/>
      <color rgb="FFFF0000"/>
      <name val="Calibri"/>
      <family val="2"/>
    </font>
    <font>
      <sz val="10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0"/>
      <color rgb="FFC00000"/>
      <name val="Calibri"/>
      <family val="2"/>
      <scheme val="minor"/>
    </font>
    <font>
      <b/>
      <sz val="10"/>
      <color theme="1" tint="0.249977111117893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  <font>
      <b/>
      <i/>
      <sz val="10"/>
      <color rgb="FFFF0000"/>
      <name val="Arial Narrow"/>
      <family val="2"/>
    </font>
    <font>
      <sz val="10"/>
      <color theme="1" tint="4.9989318521683403E-2"/>
      <name val="Calibri"/>
      <family val="2"/>
    </font>
    <font>
      <sz val="10"/>
      <color theme="1" tint="4.9989318521683403E-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lightUp"/>
    </fill>
    <fill>
      <patternFill patternType="solid">
        <fgColor rgb="FFCC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6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hair">
        <color indexed="64"/>
      </top>
      <bottom/>
      <diagonal/>
    </border>
  </borders>
  <cellStyleXfs count="7">
    <xf numFmtId="0" fontId="0" fillId="0" borderId="0" applyFont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>
      <alignment horizontal="left" vertical="center"/>
    </xf>
    <xf numFmtId="9" fontId="1" fillId="0" borderId="0" applyFont="0" applyFill="0" applyBorder="0" applyAlignment="0" applyProtection="0"/>
    <xf numFmtId="0" fontId="4" fillId="0" borderId="0">
      <alignment horizontal="left" vertical="center"/>
    </xf>
    <xf numFmtId="0" fontId="5" fillId="0" borderId="0">
      <alignment horizontal="left" vertical="center"/>
    </xf>
  </cellStyleXfs>
  <cellXfs count="960">
    <xf numFmtId="0" fontId="0" fillId="0" borderId="0" xfId="0"/>
    <xf numFmtId="0" fontId="3" fillId="0" borderId="0" xfId="0" applyFont="1" applyAlignment="1">
      <alignment horizontal="left" vertical="top"/>
    </xf>
    <xf numFmtId="0" fontId="2" fillId="0" borderId="0" xfId="0" applyFont="1" applyAlignment="1">
      <alignment vertical="center"/>
    </xf>
    <xf numFmtId="165" fontId="6" fillId="0" borderId="0" xfId="1" applyFont="1" applyBorder="1" applyAlignment="1">
      <alignment horizontal="left" vertical="center"/>
    </xf>
    <xf numFmtId="168" fontId="6" fillId="0" borderId="0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65" fontId="6" fillId="0" borderId="0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left" vertical="top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center" indent="1"/>
    </xf>
    <xf numFmtId="165" fontId="2" fillId="0" borderId="3" xfId="1" applyFont="1" applyBorder="1" applyAlignment="1">
      <alignment horizontal="right" vertical="center"/>
    </xf>
    <xf numFmtId="165" fontId="2" fillId="0" borderId="1" xfId="1" applyFont="1" applyBorder="1" applyAlignment="1">
      <alignment horizontal="right" vertical="center"/>
    </xf>
    <xf numFmtId="0" fontId="13" fillId="0" borderId="0" xfId="0" applyFont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165" fontId="14" fillId="0" borderId="5" xfId="0" applyNumberFormat="1" applyFont="1" applyBorder="1" applyAlignment="1">
      <alignment vertical="center"/>
    </xf>
    <xf numFmtId="165" fontId="14" fillId="0" borderId="0" xfId="1" applyFont="1" applyFill="1" applyBorder="1" applyAlignment="1">
      <alignment vertical="center"/>
    </xf>
    <xf numFmtId="165" fontId="14" fillId="0" borderId="5" xfId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quotePrefix="1" applyFont="1" applyAlignment="1">
      <alignment vertical="center"/>
    </xf>
    <xf numFmtId="0" fontId="14" fillId="0" borderId="0" xfId="0" applyFont="1" applyAlignment="1">
      <alignment horizontal="left" vertical="center" wrapText="1"/>
    </xf>
    <xf numFmtId="168" fontId="14" fillId="0" borderId="5" xfId="0" applyNumberFormat="1" applyFont="1" applyBorder="1" applyAlignment="1">
      <alignment vertical="center"/>
    </xf>
    <xf numFmtId="0" fontId="14" fillId="2" borderId="1" xfId="0" applyFont="1" applyFill="1" applyBorder="1" applyAlignment="1">
      <alignment horizontal="left" vertical="center" wrapText="1"/>
    </xf>
    <xf numFmtId="165" fontId="14" fillId="2" borderId="1" xfId="0" applyNumberFormat="1" applyFont="1" applyFill="1" applyBorder="1" applyAlignment="1">
      <alignment vertical="center"/>
    </xf>
    <xf numFmtId="0" fontId="14" fillId="2" borderId="6" xfId="0" applyFont="1" applyFill="1" applyBorder="1" applyAlignment="1">
      <alignment horizontal="center" vertical="center"/>
    </xf>
    <xf numFmtId="165" fontId="14" fillId="2" borderId="6" xfId="0" applyNumberFormat="1" applyFont="1" applyFill="1" applyBorder="1" applyAlignment="1">
      <alignment vertical="center"/>
    </xf>
    <xf numFmtId="165" fontId="14" fillId="2" borderId="1" xfId="1" applyFont="1" applyFill="1" applyBorder="1" applyAlignment="1">
      <alignment vertical="center"/>
    </xf>
    <xf numFmtId="165" fontId="14" fillId="0" borderId="6" xfId="1" applyFont="1" applyFill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5" xfId="0" applyFont="1" applyBorder="1" applyAlignment="1">
      <alignment horizontal="center" vertical="center"/>
    </xf>
    <xf numFmtId="168" fontId="25" fillId="0" borderId="5" xfId="0" applyNumberFormat="1" applyFont="1" applyBorder="1" applyAlignment="1">
      <alignment vertical="center"/>
    </xf>
    <xf numFmtId="165" fontId="26" fillId="0" borderId="0" xfId="0" applyNumberFormat="1" applyFont="1" applyAlignment="1">
      <alignment vertical="center"/>
    </xf>
    <xf numFmtId="165" fontId="26" fillId="0" borderId="0" xfId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165" fontId="25" fillId="0" borderId="5" xfId="0" applyNumberFormat="1" applyFont="1" applyBorder="1" applyAlignment="1">
      <alignment vertical="center"/>
    </xf>
    <xf numFmtId="165" fontId="26" fillId="0" borderId="5" xfId="1" applyFont="1" applyFill="1" applyBorder="1" applyAlignment="1">
      <alignment vertical="center"/>
    </xf>
    <xf numFmtId="0" fontId="26" fillId="0" borderId="0" xfId="0" applyFont="1" applyAlignment="1">
      <alignment vertical="center"/>
    </xf>
    <xf numFmtId="168" fontId="26" fillId="0" borderId="0" xfId="1" applyNumberFormat="1" applyFont="1" applyFill="1" applyBorder="1" applyAlignment="1">
      <alignment vertical="center"/>
    </xf>
    <xf numFmtId="0" fontId="26" fillId="0" borderId="0" xfId="0" applyFont="1" applyAlignment="1">
      <alignment horizontal="right" vertical="center" wrapText="1"/>
    </xf>
    <xf numFmtId="0" fontId="26" fillId="0" borderId="5" xfId="0" applyFont="1" applyBorder="1" applyAlignment="1">
      <alignment horizontal="center" vertical="center"/>
    </xf>
    <xf numFmtId="165" fontId="26" fillId="0" borderId="7" xfId="0" applyNumberFormat="1" applyFont="1" applyBorder="1" applyAlignment="1">
      <alignment vertical="center"/>
    </xf>
    <xf numFmtId="165" fontId="27" fillId="0" borderId="0" xfId="1" applyFont="1" applyFill="1" applyBorder="1" applyAlignment="1">
      <alignment horizontal="left" vertical="center"/>
    </xf>
    <xf numFmtId="165" fontId="27" fillId="0" borderId="0" xfId="1" applyFont="1" applyFill="1" applyBorder="1" applyAlignment="1">
      <alignment vertical="center"/>
    </xf>
    <xf numFmtId="168" fontId="27" fillId="0" borderId="0" xfId="1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65" fontId="27" fillId="0" borderId="0" xfId="0" applyNumberFormat="1" applyFont="1" applyAlignment="1">
      <alignment vertical="center"/>
    </xf>
    <xf numFmtId="165" fontId="27" fillId="0" borderId="0" xfId="1" applyFont="1" applyFill="1" applyBorder="1" applyAlignment="1">
      <alignment horizontal="right" vertical="top"/>
    </xf>
    <xf numFmtId="0" fontId="27" fillId="0" borderId="0" xfId="0" applyFont="1" applyAlignment="1">
      <alignment vertical="center"/>
    </xf>
    <xf numFmtId="165" fontId="28" fillId="0" borderId="0" xfId="1" applyFont="1" applyFill="1" applyBorder="1" applyAlignment="1">
      <alignment horizontal="right" vertical="top"/>
    </xf>
    <xf numFmtId="0" fontId="27" fillId="0" borderId="0" xfId="0" applyFont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165" fontId="25" fillId="0" borderId="1" xfId="1" applyFont="1" applyFill="1" applyBorder="1" applyAlignment="1">
      <alignment horizontal="left" vertical="center"/>
    </xf>
    <xf numFmtId="168" fontId="25" fillId="0" borderId="1" xfId="1" applyNumberFormat="1" applyFont="1" applyFill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165" fontId="26" fillId="0" borderId="1" xfId="0" applyNumberFormat="1" applyFont="1" applyBorder="1" applyAlignment="1">
      <alignment horizontal="center" vertical="center"/>
    </xf>
    <xf numFmtId="165" fontId="26" fillId="0" borderId="1" xfId="1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165" fontId="25" fillId="0" borderId="0" xfId="0" applyNumberFormat="1" applyFont="1" applyAlignment="1">
      <alignment vertical="center"/>
    </xf>
    <xf numFmtId="165" fontId="25" fillId="0" borderId="0" xfId="1" applyFont="1" applyFill="1" applyBorder="1" applyAlignment="1">
      <alignment vertical="center"/>
    </xf>
    <xf numFmtId="0" fontId="29" fillId="0" borderId="0" xfId="0" quotePrefix="1" applyFont="1" applyAlignment="1">
      <alignment vertical="center"/>
    </xf>
    <xf numFmtId="165" fontId="25" fillId="0" borderId="0" xfId="1" applyFont="1" applyFill="1" applyBorder="1" applyAlignment="1">
      <alignment horizontal="left" vertical="center"/>
    </xf>
    <xf numFmtId="0" fontId="25" fillId="2" borderId="1" xfId="0" applyFont="1" applyFill="1" applyBorder="1" applyAlignment="1">
      <alignment horizontal="left" vertical="center" wrapText="1"/>
    </xf>
    <xf numFmtId="165" fontId="25" fillId="2" borderId="1" xfId="0" applyNumberFormat="1" applyFont="1" applyFill="1" applyBorder="1" applyAlignment="1">
      <alignment vertical="center"/>
    </xf>
    <xf numFmtId="0" fontId="25" fillId="2" borderId="6" xfId="0" applyFont="1" applyFill="1" applyBorder="1" applyAlignment="1">
      <alignment horizontal="center" vertical="center"/>
    </xf>
    <xf numFmtId="165" fontId="25" fillId="2" borderId="6" xfId="0" applyNumberFormat="1" applyFont="1" applyFill="1" applyBorder="1" applyAlignment="1">
      <alignment vertical="center"/>
    </xf>
    <xf numFmtId="165" fontId="25" fillId="2" borderId="1" xfId="1" applyFont="1" applyFill="1" applyBorder="1" applyAlignment="1">
      <alignment vertical="center"/>
    </xf>
    <xf numFmtId="165" fontId="25" fillId="0" borderId="6" xfId="1" applyFont="1" applyFill="1" applyBorder="1" applyAlignment="1">
      <alignment vertical="center"/>
    </xf>
    <xf numFmtId="2" fontId="26" fillId="0" borderId="0" xfId="0" applyNumberFormat="1" applyFont="1" applyAlignment="1">
      <alignment vertical="center"/>
    </xf>
    <xf numFmtId="2" fontId="26" fillId="0" borderId="6" xfId="0" applyNumberFormat="1" applyFont="1" applyBorder="1" applyAlignment="1">
      <alignment vertical="center"/>
    </xf>
    <xf numFmtId="165" fontId="26" fillId="2" borderId="1" xfId="0" applyNumberFormat="1" applyFont="1" applyFill="1" applyBorder="1" applyAlignment="1">
      <alignment vertical="center"/>
    </xf>
    <xf numFmtId="165" fontId="26" fillId="2" borderId="1" xfId="1" applyFont="1" applyFill="1" applyBorder="1" applyAlignment="1">
      <alignment vertical="center"/>
    </xf>
    <xf numFmtId="165" fontId="26" fillId="0" borderId="6" xfId="1" applyFont="1" applyFill="1" applyBorder="1" applyAlignment="1">
      <alignment vertical="center"/>
    </xf>
    <xf numFmtId="0" fontId="29" fillId="0" borderId="8" xfId="0" quotePrefix="1" applyFont="1" applyBorder="1" applyAlignment="1">
      <alignment vertical="center"/>
    </xf>
    <xf numFmtId="168" fontId="25" fillId="0" borderId="0" xfId="1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165" fontId="30" fillId="0" borderId="0" xfId="1" applyFont="1" applyFill="1" applyBorder="1" applyAlignment="1">
      <alignment horizontal="right" vertical="center"/>
    </xf>
    <xf numFmtId="165" fontId="25" fillId="0" borderId="0" xfId="1" applyFont="1" applyFill="1" applyBorder="1" applyAlignment="1">
      <alignment horizontal="right" vertical="center"/>
    </xf>
    <xf numFmtId="0" fontId="13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165" fontId="14" fillId="0" borderId="0" xfId="1" applyFont="1" applyFill="1" applyBorder="1" applyAlignment="1">
      <alignment horizontal="left" vertical="center" wrapText="1"/>
    </xf>
    <xf numFmtId="0" fontId="14" fillId="0" borderId="0" xfId="0" applyFont="1" applyAlignment="1">
      <alignment horizontal="right" vertical="center" wrapText="1" indent="1"/>
    </xf>
    <xf numFmtId="165" fontId="14" fillId="0" borderId="0" xfId="0" applyNumberFormat="1" applyFont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31" fillId="2" borderId="10" xfId="0" applyFont="1" applyFill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7" fillId="0" borderId="0" xfId="0" applyFont="1" applyAlignment="1">
      <alignment horizontal="left" vertical="top"/>
    </xf>
    <xf numFmtId="168" fontId="2" fillId="0" borderId="0" xfId="1" applyNumberFormat="1" applyFont="1" applyBorder="1" applyAlignment="1">
      <alignment horizontal="left" vertical="center"/>
    </xf>
    <xf numFmtId="168" fontId="17" fillId="0" borderId="0" xfId="1" applyNumberFormat="1" applyFont="1" applyBorder="1" applyAlignment="1">
      <alignment horizontal="left" vertical="center"/>
    </xf>
    <xf numFmtId="168" fontId="7" fillId="0" borderId="11" xfId="1" applyNumberFormat="1" applyFont="1" applyFill="1" applyBorder="1" applyAlignment="1">
      <alignment horizontal="center" vertical="center"/>
    </xf>
    <xf numFmtId="168" fontId="2" fillId="0" borderId="0" xfId="1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5" fillId="0" borderId="10" xfId="0" applyFont="1" applyBorder="1" applyAlignment="1">
      <alignment horizontal="center" vertical="center"/>
    </xf>
    <xf numFmtId="168" fontId="26" fillId="0" borderId="5" xfId="1" applyNumberFormat="1" applyFont="1" applyFill="1" applyBorder="1" applyAlignment="1">
      <alignment horizontal="center" vertical="center"/>
    </xf>
    <xf numFmtId="168" fontId="2" fillId="0" borderId="11" xfId="1" applyNumberFormat="1" applyFont="1" applyFill="1" applyBorder="1" applyAlignment="1">
      <alignment horizontal="center" vertical="center"/>
    </xf>
    <xf numFmtId="168" fontId="2" fillId="0" borderId="12" xfId="1" applyNumberFormat="1" applyFont="1" applyFill="1" applyBorder="1" applyAlignment="1">
      <alignment horizontal="right" vertical="center"/>
    </xf>
    <xf numFmtId="168" fontId="2" fillId="0" borderId="13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left" vertical="center"/>
    </xf>
    <xf numFmtId="168" fontId="2" fillId="0" borderId="0" xfId="1" applyNumberFormat="1" applyFont="1" applyFill="1" applyBorder="1" applyAlignment="1">
      <alignment horizontal="left" vertical="center"/>
    </xf>
    <xf numFmtId="164" fontId="12" fillId="0" borderId="11" xfId="2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 indent="1"/>
    </xf>
    <xf numFmtId="168" fontId="2" fillId="0" borderId="16" xfId="1" applyNumberFormat="1" applyFont="1" applyFill="1" applyBorder="1" applyAlignment="1">
      <alignment vertical="center"/>
    </xf>
    <xf numFmtId="168" fontId="2" fillId="0" borderId="0" xfId="1" applyNumberFormat="1" applyFont="1" applyBorder="1" applyAlignment="1">
      <alignment horizontal="center" vertical="center"/>
    </xf>
    <xf numFmtId="164" fontId="2" fillId="0" borderId="4" xfId="2" applyFont="1" applyBorder="1" applyAlignment="1">
      <alignment horizontal="center" vertical="center"/>
    </xf>
    <xf numFmtId="164" fontId="2" fillId="0" borderId="2" xfId="2" applyFont="1" applyBorder="1" applyAlignment="1">
      <alignment horizontal="center" vertical="center"/>
    </xf>
    <xf numFmtId="168" fontId="2" fillId="0" borderId="2" xfId="1" applyNumberFormat="1" applyFont="1" applyBorder="1" applyAlignment="1">
      <alignment horizontal="center" vertical="center"/>
    </xf>
    <xf numFmtId="168" fontId="2" fillId="0" borderId="2" xfId="1" applyNumberFormat="1" applyFont="1" applyFill="1" applyBorder="1" applyAlignment="1">
      <alignment horizontal="center" vertical="center"/>
    </xf>
    <xf numFmtId="168" fontId="2" fillId="0" borderId="4" xfId="1" applyNumberFormat="1" applyFont="1" applyFill="1" applyBorder="1" applyAlignment="1">
      <alignment horizontal="center" vertical="center"/>
    </xf>
    <xf numFmtId="168" fontId="2" fillId="0" borderId="15" xfId="1" applyNumberFormat="1" applyFont="1" applyBorder="1" applyAlignment="1">
      <alignment horizontal="right" vertical="center"/>
    </xf>
    <xf numFmtId="168" fontId="2" fillId="0" borderId="4" xfId="1" applyNumberFormat="1" applyFont="1" applyBorder="1" applyAlignment="1">
      <alignment horizontal="center" vertical="center"/>
    </xf>
    <xf numFmtId="164" fontId="2" fillId="0" borderId="0" xfId="2" applyFont="1" applyBorder="1" applyAlignment="1">
      <alignment horizontal="center" vertical="center"/>
    </xf>
    <xf numFmtId="164" fontId="2" fillId="0" borderId="2" xfId="2" applyFont="1" applyFill="1" applyBorder="1" applyAlignment="1">
      <alignment horizontal="center" vertical="center"/>
    </xf>
    <xf numFmtId="164" fontId="2" fillId="0" borderId="4" xfId="2" applyFont="1" applyFill="1" applyBorder="1" applyAlignment="1">
      <alignment horizontal="center" vertical="center"/>
    </xf>
    <xf numFmtId="164" fontId="2" fillId="0" borderId="15" xfId="2" applyFont="1" applyBorder="1" applyAlignment="1">
      <alignment horizontal="right" vertical="center"/>
    </xf>
    <xf numFmtId="164" fontId="2" fillId="0" borderId="0" xfId="2" applyFont="1" applyBorder="1" applyAlignment="1">
      <alignment horizontal="left" vertical="center"/>
    </xf>
    <xf numFmtId="164" fontId="12" fillId="0" borderId="1" xfId="2" applyFont="1" applyBorder="1" applyAlignment="1">
      <alignment horizontal="center" vertical="center"/>
    </xf>
    <xf numFmtId="168" fontId="12" fillId="0" borderId="1" xfId="1" applyNumberFormat="1" applyFont="1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4" fillId="2" borderId="1" xfId="0" applyFont="1" applyFill="1" applyBorder="1" applyAlignment="1">
      <alignment vertical="center"/>
    </xf>
    <xf numFmtId="0" fontId="35" fillId="0" borderId="0" xfId="0" applyFont="1" applyAlignment="1">
      <alignment vertical="center"/>
    </xf>
    <xf numFmtId="0" fontId="13" fillId="0" borderId="17" xfId="0" applyFont="1" applyBorder="1" applyAlignment="1">
      <alignment vertical="center"/>
    </xf>
    <xf numFmtId="0" fontId="18" fillId="2" borderId="1" xfId="0" applyFont="1" applyFill="1" applyBorder="1" applyAlignment="1">
      <alignment vertical="center"/>
    </xf>
    <xf numFmtId="165" fontId="14" fillId="0" borderId="0" xfId="1" applyFont="1" applyFill="1" applyBorder="1" applyAlignment="1">
      <alignment horizontal="left" vertical="center"/>
    </xf>
    <xf numFmtId="0" fontId="26" fillId="0" borderId="18" xfId="0" applyFont="1" applyBorder="1" applyAlignment="1">
      <alignment horizontal="center" vertical="center"/>
    </xf>
    <xf numFmtId="165" fontId="26" fillId="0" borderId="18" xfId="1" applyFont="1" applyFill="1" applyBorder="1" applyAlignment="1">
      <alignment horizontal="center" vertical="center"/>
    </xf>
    <xf numFmtId="165" fontId="26" fillId="0" borderId="6" xfId="0" applyNumberFormat="1" applyFont="1" applyBorder="1" applyAlignment="1">
      <alignment vertical="center"/>
    </xf>
    <xf numFmtId="165" fontId="26" fillId="0" borderId="5" xfId="0" applyNumberFormat="1" applyFont="1" applyBorder="1" applyAlignment="1">
      <alignment vertical="center"/>
    </xf>
    <xf numFmtId="168" fontId="26" fillId="0" borderId="6" xfId="1" applyNumberFormat="1" applyFont="1" applyFill="1" applyBorder="1" applyAlignment="1">
      <alignment vertical="center"/>
    </xf>
    <xf numFmtId="0" fontId="26" fillId="0" borderId="0" xfId="0" applyFont="1" applyAlignment="1">
      <alignment horizontal="center" vertical="center" wrapText="1"/>
    </xf>
    <xf numFmtId="0" fontId="36" fillId="0" borderId="0" xfId="0" applyFont="1" applyAlignment="1">
      <alignment vertical="center"/>
    </xf>
    <xf numFmtId="165" fontId="25" fillId="3" borderId="6" xfId="1" applyFont="1" applyFill="1" applyBorder="1" applyAlignment="1">
      <alignment horizontal="right" vertical="center"/>
    </xf>
    <xf numFmtId="165" fontId="25" fillId="3" borderId="5" xfId="1" applyFont="1" applyFill="1" applyBorder="1" applyAlignment="1">
      <alignment vertical="center"/>
    </xf>
    <xf numFmtId="165" fontId="25" fillId="3" borderId="5" xfId="1" applyFont="1" applyFill="1" applyBorder="1" applyAlignment="1">
      <alignment horizontal="right" vertical="center"/>
    </xf>
    <xf numFmtId="165" fontId="14" fillId="3" borderId="5" xfId="1" applyFont="1" applyFill="1" applyBorder="1" applyAlignment="1">
      <alignment vertical="center"/>
    </xf>
    <xf numFmtId="165" fontId="14" fillId="3" borderId="5" xfId="1" applyFont="1" applyFill="1" applyBorder="1" applyAlignment="1">
      <alignment horizontal="right" vertical="center"/>
    </xf>
    <xf numFmtId="165" fontId="26" fillId="3" borderId="5" xfId="1" applyFont="1" applyFill="1" applyBorder="1" applyAlignment="1">
      <alignment vertical="center"/>
    </xf>
    <xf numFmtId="165" fontId="26" fillId="3" borderId="5" xfId="1" applyFont="1" applyFill="1" applyBorder="1" applyAlignment="1">
      <alignment horizontal="right" vertical="center"/>
    </xf>
    <xf numFmtId="165" fontId="37" fillId="3" borderId="5" xfId="1" applyFont="1" applyFill="1" applyBorder="1" applyAlignment="1">
      <alignment vertical="center"/>
    </xf>
    <xf numFmtId="165" fontId="14" fillId="3" borderId="6" xfId="1" applyFont="1" applyFill="1" applyBorder="1" applyAlignment="1">
      <alignment horizontal="right" vertical="center"/>
    </xf>
    <xf numFmtId="165" fontId="38" fillId="3" borderId="5" xfId="1" applyFont="1" applyFill="1" applyBorder="1" applyAlignment="1">
      <alignment vertical="center"/>
    </xf>
    <xf numFmtId="165" fontId="25" fillId="4" borderId="6" xfId="1" applyFont="1" applyFill="1" applyBorder="1" applyAlignment="1">
      <alignment horizontal="right" vertical="center"/>
    </xf>
    <xf numFmtId="165" fontId="25" fillId="4" borderId="5" xfId="1" applyFont="1" applyFill="1" applyBorder="1" applyAlignment="1">
      <alignment vertical="center"/>
    </xf>
    <xf numFmtId="165" fontId="25" fillId="4" borderId="5" xfId="1" applyFont="1" applyFill="1" applyBorder="1" applyAlignment="1">
      <alignment horizontal="right" vertical="center"/>
    </xf>
    <xf numFmtId="165" fontId="14" fillId="4" borderId="5" xfId="1" applyFont="1" applyFill="1" applyBorder="1" applyAlignment="1">
      <alignment vertical="center"/>
    </xf>
    <xf numFmtId="165" fontId="14" fillId="4" borderId="5" xfId="1" applyFont="1" applyFill="1" applyBorder="1" applyAlignment="1">
      <alignment horizontal="right" vertical="center"/>
    </xf>
    <xf numFmtId="165" fontId="26" fillId="4" borderId="5" xfId="1" applyFont="1" applyFill="1" applyBorder="1" applyAlignment="1">
      <alignment vertical="center"/>
    </xf>
    <xf numFmtId="165" fontId="26" fillId="4" borderId="5" xfId="1" applyFont="1" applyFill="1" applyBorder="1" applyAlignment="1">
      <alignment horizontal="right" vertical="center"/>
    </xf>
    <xf numFmtId="165" fontId="37" fillId="4" borderId="5" xfId="1" applyFont="1" applyFill="1" applyBorder="1" applyAlignment="1">
      <alignment vertical="center"/>
    </xf>
    <xf numFmtId="165" fontId="14" fillId="4" borderId="6" xfId="1" applyFont="1" applyFill="1" applyBorder="1" applyAlignment="1">
      <alignment horizontal="right" vertical="center"/>
    </xf>
    <xf numFmtId="165" fontId="38" fillId="4" borderId="5" xfId="1" applyFont="1" applyFill="1" applyBorder="1" applyAlignment="1">
      <alignment vertical="center"/>
    </xf>
    <xf numFmtId="164" fontId="25" fillId="0" borderId="0" xfId="2" applyFont="1" applyFill="1" applyAlignment="1">
      <alignment vertical="center"/>
    </xf>
    <xf numFmtId="165" fontId="26" fillId="5" borderId="0" xfId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168" fontId="14" fillId="0" borderId="0" xfId="0" applyNumberFormat="1" applyFont="1" applyAlignment="1">
      <alignment vertical="center"/>
    </xf>
    <xf numFmtId="43" fontId="26" fillId="0" borderId="0" xfId="0" applyNumberFormat="1" applyFont="1" applyAlignment="1">
      <alignment vertical="center"/>
    </xf>
    <xf numFmtId="169" fontId="25" fillId="6" borderId="0" xfId="4" applyNumberFormat="1" applyFont="1" applyFill="1" applyAlignment="1">
      <alignment vertical="center"/>
    </xf>
    <xf numFmtId="9" fontId="39" fillId="7" borderId="0" xfId="0" applyNumberFormat="1" applyFont="1" applyFill="1" applyAlignment="1">
      <alignment vertical="center"/>
    </xf>
    <xf numFmtId="168" fontId="39" fillId="7" borderId="0" xfId="0" applyNumberFormat="1" applyFont="1" applyFill="1" applyAlignment="1">
      <alignment vertical="center"/>
    </xf>
    <xf numFmtId="0" fontId="14" fillId="0" borderId="0" xfId="0" applyFont="1" applyAlignment="1">
      <alignment horizontal="center" vertical="center"/>
    </xf>
    <xf numFmtId="164" fontId="14" fillId="0" borderId="0" xfId="2" applyFont="1" applyFill="1" applyBorder="1" applyAlignment="1">
      <alignment horizontal="center" vertical="center"/>
    </xf>
    <xf numFmtId="44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 wrapText="1" indent="1"/>
    </xf>
    <xf numFmtId="0" fontId="20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43" fontId="14" fillId="0" borderId="0" xfId="0" applyNumberFormat="1" applyFont="1" applyAlignment="1">
      <alignment vertical="center"/>
    </xf>
    <xf numFmtId="0" fontId="0" fillId="4" borderId="8" xfId="0" applyFill="1" applyBorder="1"/>
    <xf numFmtId="0" fontId="0" fillId="3" borderId="8" xfId="0" applyFill="1" applyBorder="1"/>
    <xf numFmtId="0" fontId="0" fillId="3" borderId="5" xfId="0" applyFill="1" applyBorder="1"/>
    <xf numFmtId="0" fontId="0" fillId="4" borderId="5" xfId="0" applyFill="1" applyBorder="1"/>
    <xf numFmtId="0" fontId="25" fillId="0" borderId="0" xfId="0" applyFont="1"/>
    <xf numFmtId="1" fontId="25" fillId="0" borderId="0" xfId="0" applyNumberFormat="1" applyFont="1" applyAlignment="1">
      <alignment horizontal="center"/>
    </xf>
    <xf numFmtId="172" fontId="25" fillId="0" borderId="0" xfId="0" applyNumberFormat="1" applyFont="1" applyAlignment="1">
      <alignment horizontal="center"/>
    </xf>
    <xf numFmtId="166" fontId="25" fillId="0" borderId="0" xfId="2" applyNumberFormat="1" applyFont="1" applyFill="1" applyBorder="1" applyAlignment="1">
      <alignment horizontal="center"/>
    </xf>
    <xf numFmtId="164" fontId="25" fillId="0" borderId="0" xfId="2" applyFont="1" applyFill="1" applyBorder="1" applyAlignment="1">
      <alignment horizontal="center"/>
    </xf>
    <xf numFmtId="2" fontId="25" fillId="0" borderId="0" xfId="0" applyNumberFormat="1" applyFont="1" applyAlignment="1">
      <alignment horizontal="center"/>
    </xf>
    <xf numFmtId="0" fontId="40" fillId="0" borderId="0" xfId="0" applyFont="1" applyAlignment="1">
      <alignment horizontal="center"/>
    </xf>
    <xf numFmtId="166" fontId="31" fillId="0" borderId="0" xfId="2" applyNumberFormat="1" applyFont="1" applyFill="1" applyBorder="1" applyAlignment="1"/>
    <xf numFmtId="0" fontId="25" fillId="0" borderId="1" xfId="0" applyFont="1" applyBorder="1"/>
    <xf numFmtId="0" fontId="25" fillId="0" borderId="0" xfId="0" applyFont="1" applyAlignment="1">
      <alignment horizontal="center"/>
    </xf>
    <xf numFmtId="164" fontId="31" fillId="0" borderId="0" xfId="2" applyFont="1" applyFill="1" applyBorder="1" applyAlignment="1" applyProtection="1">
      <protection locked="0"/>
    </xf>
    <xf numFmtId="164" fontId="31" fillId="0" borderId="0" xfId="2" applyFont="1" applyFill="1" applyBorder="1" applyAlignment="1">
      <alignment horizontal="center" vertical="center" wrapText="1"/>
    </xf>
    <xf numFmtId="166" fontId="31" fillId="0" borderId="0" xfId="2" applyNumberFormat="1" applyFont="1" applyFill="1" applyBorder="1" applyAlignment="1">
      <alignment horizontal="center" vertical="center" wrapText="1"/>
    </xf>
    <xf numFmtId="166" fontId="25" fillId="0" borderId="0" xfId="2" applyNumberFormat="1" applyFont="1" applyFill="1" applyBorder="1"/>
    <xf numFmtId="9" fontId="25" fillId="0" borderId="0" xfId="0" applyNumberFormat="1" applyFont="1"/>
    <xf numFmtId="0" fontId="41" fillId="0" borderId="0" xfId="0" applyFont="1" applyAlignment="1">
      <alignment horizontal="center"/>
    </xf>
    <xf numFmtId="0" fontId="31" fillId="0" borderId="0" xfId="0" applyFont="1"/>
    <xf numFmtId="164" fontId="25" fillId="0" borderId="0" xfId="2" applyFont="1" applyFill="1" applyBorder="1"/>
    <xf numFmtId="0" fontId="25" fillId="0" borderId="0" xfId="1" applyNumberFormat="1" applyFont="1" applyFill="1" applyBorder="1" applyProtection="1">
      <protection locked="0"/>
    </xf>
    <xf numFmtId="14" fontId="25" fillId="0" borderId="0" xfId="0" applyNumberFormat="1" applyFont="1" applyProtection="1">
      <protection locked="0"/>
    </xf>
    <xf numFmtId="0" fontId="25" fillId="0" borderId="0" xfId="0" applyFont="1" applyProtection="1">
      <protection locked="0"/>
    </xf>
    <xf numFmtId="0" fontId="42" fillId="0" borderId="0" xfId="0" applyFont="1" applyProtection="1">
      <protection locked="0"/>
    </xf>
    <xf numFmtId="1" fontId="42" fillId="0" borderId="0" xfId="2" applyNumberFormat="1" applyFont="1" applyFill="1" applyBorder="1" applyProtection="1">
      <protection locked="0"/>
    </xf>
    <xf numFmtId="1" fontId="31" fillId="0" borderId="0" xfId="0" applyNumberFormat="1" applyFont="1" applyAlignment="1">
      <alignment horizontal="right"/>
    </xf>
    <xf numFmtId="172" fontId="42" fillId="0" borderId="0" xfId="0" applyNumberFormat="1" applyFont="1" applyProtection="1">
      <protection locked="0"/>
    </xf>
    <xf numFmtId="0" fontId="42" fillId="0" borderId="0" xfId="0" applyFont="1" applyAlignment="1" applyProtection="1">
      <alignment horizontal="right"/>
      <protection locked="0"/>
    </xf>
    <xf numFmtId="9" fontId="25" fillId="0" borderId="0" xfId="0" applyNumberFormat="1" applyFont="1" applyAlignment="1" applyProtection="1">
      <alignment vertical="center" wrapText="1"/>
      <protection locked="0"/>
    </xf>
    <xf numFmtId="166" fontId="25" fillId="0" borderId="0" xfId="2" applyNumberFormat="1" applyFont="1" applyFill="1" applyBorder="1" applyProtection="1">
      <protection locked="0"/>
    </xf>
    <xf numFmtId="9" fontId="25" fillId="0" borderId="0" xfId="4" applyFont="1" applyFill="1" applyBorder="1"/>
    <xf numFmtId="2" fontId="43" fillId="0" borderId="0" xfId="0" applyNumberFormat="1" applyFont="1" applyAlignment="1" applyProtection="1">
      <alignment horizontal="center"/>
      <protection locked="0"/>
    </xf>
    <xf numFmtId="0" fontId="31" fillId="0" borderId="0" xfId="0" applyFont="1" applyAlignment="1" applyProtection="1">
      <alignment horizontal="center"/>
      <protection locked="0"/>
    </xf>
    <xf numFmtId="2" fontId="42" fillId="0" borderId="0" xfId="0" applyNumberFormat="1" applyFont="1" applyProtection="1">
      <protection locked="0"/>
    </xf>
    <xf numFmtId="169" fontId="43" fillId="0" borderId="0" xfId="4" applyNumberFormat="1" applyFont="1" applyFill="1" applyBorder="1" applyProtection="1">
      <protection locked="0"/>
    </xf>
    <xf numFmtId="0" fontId="29" fillId="0" borderId="0" xfId="0" applyFont="1" applyAlignment="1">
      <alignment horizontal="center" vertical="center"/>
    </xf>
    <xf numFmtId="166" fontId="31" fillId="0" borderId="0" xfId="2" applyNumberFormat="1" applyFont="1" applyFill="1" applyBorder="1" applyAlignment="1">
      <alignment horizontal="center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horizontal="center" vertical="center" wrapText="1"/>
    </xf>
    <xf numFmtId="0" fontId="25" fillId="0" borderId="0" xfId="0" applyFont="1" applyAlignment="1" applyProtection="1">
      <alignment horizontal="center"/>
      <protection locked="0"/>
    </xf>
    <xf numFmtId="166" fontId="31" fillId="0" borderId="0" xfId="2" applyNumberFormat="1" applyFont="1" applyFill="1" applyBorder="1" applyAlignment="1">
      <alignment horizontal="right"/>
    </xf>
    <xf numFmtId="0" fontId="25" fillId="0" borderId="0" xfId="0" applyFont="1" applyAlignment="1">
      <alignment vertical="center" wrapText="1"/>
    </xf>
    <xf numFmtId="165" fontId="25" fillId="4" borderId="0" xfId="1" applyFont="1" applyFill="1" applyBorder="1" applyAlignment="1">
      <alignment horizontal="right" vertical="center"/>
    </xf>
    <xf numFmtId="165" fontId="25" fillId="3" borderId="0" xfId="1" applyFont="1" applyFill="1" applyBorder="1" applyAlignment="1">
      <alignment vertical="center"/>
    </xf>
    <xf numFmtId="165" fontId="25" fillId="3" borderId="19" xfId="1" applyFont="1" applyFill="1" applyBorder="1" applyAlignment="1">
      <alignment horizontal="right" vertical="center"/>
    </xf>
    <xf numFmtId="0" fontId="14" fillId="0" borderId="20" xfId="0" applyFont="1" applyBorder="1" applyAlignment="1">
      <alignment horizontal="center" vertical="center" wrapText="1"/>
    </xf>
    <xf numFmtId="165" fontId="14" fillId="0" borderId="21" xfId="1" applyFont="1" applyFill="1" applyBorder="1" applyAlignment="1">
      <alignment vertical="center"/>
    </xf>
    <xf numFmtId="0" fontId="25" fillId="0" borderId="20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165" fontId="14" fillId="0" borderId="23" xfId="1" applyFont="1" applyFill="1" applyBorder="1" applyAlignment="1">
      <alignment vertical="center"/>
    </xf>
    <xf numFmtId="0" fontId="16" fillId="0" borderId="24" xfId="0" applyFont="1" applyBorder="1" applyAlignment="1">
      <alignment horizontal="center" vertical="center" wrapText="1"/>
    </xf>
    <xf numFmtId="165" fontId="16" fillId="0" borderId="25" xfId="1" applyFont="1" applyFill="1" applyBorder="1" applyAlignment="1">
      <alignment vertical="center"/>
    </xf>
    <xf numFmtId="0" fontId="25" fillId="0" borderId="0" xfId="0" applyFont="1" applyAlignment="1">
      <alignment horizontal="right" vertical="center" wrapText="1"/>
    </xf>
    <xf numFmtId="0" fontId="31" fillId="0" borderId="0" xfId="0" applyFont="1" applyAlignment="1">
      <alignment horizontal="right" vertical="center" wrapText="1"/>
    </xf>
    <xf numFmtId="2" fontId="31" fillId="0" borderId="0" xfId="0" applyNumberFormat="1" applyFont="1" applyAlignment="1">
      <alignment horizontal="center" vertical="center"/>
    </xf>
    <xf numFmtId="165" fontId="32" fillId="0" borderId="0" xfId="1" applyFont="1" applyFill="1" applyBorder="1" applyAlignment="1">
      <alignment vertical="center"/>
    </xf>
    <xf numFmtId="165" fontId="31" fillId="0" borderId="0" xfId="1" applyFont="1" applyFill="1" applyBorder="1" applyAlignment="1">
      <alignment vertical="center"/>
    </xf>
    <xf numFmtId="165" fontId="31" fillId="0" borderId="0" xfId="1" applyFont="1" applyFill="1" applyBorder="1" applyAlignment="1">
      <alignment horizontal="right" vertical="center"/>
    </xf>
    <xf numFmtId="165" fontId="16" fillId="0" borderId="26" xfId="0" applyNumberFormat="1" applyFont="1" applyBorder="1" applyAlignment="1">
      <alignment horizontal="center" vertical="center"/>
    </xf>
    <xf numFmtId="168" fontId="25" fillId="0" borderId="5" xfId="1" applyNumberFormat="1" applyFont="1" applyFill="1" applyBorder="1" applyAlignment="1">
      <alignment horizontal="center" vertical="center"/>
    </xf>
    <xf numFmtId="9" fontId="25" fillId="0" borderId="0" xfId="4" applyFont="1" applyFill="1" applyBorder="1" applyAlignment="1">
      <alignment vertical="center"/>
    </xf>
    <xf numFmtId="0" fontId="25" fillId="5" borderId="0" xfId="0" applyFont="1" applyFill="1" applyAlignment="1">
      <alignment horizontal="right" vertical="center" wrapText="1"/>
    </xf>
    <xf numFmtId="0" fontId="0" fillId="4" borderId="9" xfId="0" applyFill="1" applyBorder="1"/>
    <xf numFmtId="0" fontId="23" fillId="4" borderId="8" xfId="0" applyFont="1" applyFill="1" applyBorder="1"/>
    <xf numFmtId="165" fontId="25" fillId="4" borderId="8" xfId="1" applyFont="1" applyFill="1" applyBorder="1" applyAlignment="1">
      <alignment vertical="center"/>
    </xf>
    <xf numFmtId="165" fontId="25" fillId="4" borderId="8" xfId="1" applyFont="1" applyFill="1" applyBorder="1" applyAlignment="1">
      <alignment horizontal="right" vertical="center"/>
    </xf>
    <xf numFmtId="0" fontId="0" fillId="0" borderId="9" xfId="0" applyBorder="1"/>
    <xf numFmtId="0" fontId="0" fillId="0" borderId="8" xfId="0" applyBorder="1"/>
    <xf numFmtId="0" fontId="0" fillId="4" borderId="19" xfId="0" applyFill="1" applyBorder="1"/>
    <xf numFmtId="0" fontId="23" fillId="4" borderId="5" xfId="0" applyFont="1" applyFill="1" applyBorder="1"/>
    <xf numFmtId="0" fontId="0" fillId="3" borderId="19" xfId="0" applyFill="1" applyBorder="1"/>
    <xf numFmtId="0" fontId="23" fillId="3" borderId="5" xfId="0" applyFont="1" applyFill="1" applyBorder="1"/>
    <xf numFmtId="168" fontId="25" fillId="0" borderId="8" xfId="1" applyNumberFormat="1" applyFont="1" applyFill="1" applyBorder="1" applyAlignment="1">
      <alignment horizontal="center" vertical="center"/>
    </xf>
    <xf numFmtId="0" fontId="25" fillId="0" borderId="8" xfId="0" applyFont="1" applyBorder="1"/>
    <xf numFmtId="0" fontId="25" fillId="0" borderId="8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17" xfId="0" applyBorder="1"/>
    <xf numFmtId="0" fontId="23" fillId="0" borderId="0" xfId="0" applyFont="1"/>
    <xf numFmtId="0" fontId="25" fillId="0" borderId="0" xfId="0" applyFont="1" applyAlignment="1">
      <alignment horizontal="right"/>
    </xf>
    <xf numFmtId="43" fontId="0" fillId="0" borderId="0" xfId="0" applyNumberFormat="1"/>
    <xf numFmtId="0" fontId="0" fillId="0" borderId="27" xfId="0" applyBorder="1"/>
    <xf numFmtId="0" fontId="0" fillId="0" borderId="3" xfId="0" applyBorder="1"/>
    <xf numFmtId="0" fontId="26" fillId="0" borderId="3" xfId="0" applyFont="1" applyBorder="1" applyAlignment="1">
      <alignment horizontal="right" vertical="center" wrapText="1"/>
    </xf>
    <xf numFmtId="165" fontId="26" fillId="0" borderId="3" xfId="0" applyNumberFormat="1" applyFont="1" applyBorder="1" applyAlignment="1">
      <alignment vertical="center"/>
    </xf>
    <xf numFmtId="165" fontId="26" fillId="3" borderId="28" xfId="1" applyFont="1" applyFill="1" applyBorder="1" applyAlignment="1">
      <alignment vertical="center"/>
    </xf>
    <xf numFmtId="165" fontId="26" fillId="4" borderId="27" xfId="1" applyFont="1" applyFill="1" applyBorder="1" applyAlignment="1">
      <alignment horizontal="right" vertical="center"/>
    </xf>
    <xf numFmtId="165" fontId="25" fillId="3" borderId="18" xfId="1" applyFont="1" applyFill="1" applyBorder="1" applyAlignment="1">
      <alignment horizontal="right" vertical="center"/>
    </xf>
    <xf numFmtId="0" fontId="0" fillId="3" borderId="18" xfId="0" applyFill="1" applyBorder="1"/>
    <xf numFmtId="165" fontId="26" fillId="3" borderId="29" xfId="1" applyFont="1" applyFill="1" applyBorder="1" applyAlignment="1">
      <alignment horizontal="right" vertical="center"/>
    </xf>
    <xf numFmtId="165" fontId="26" fillId="4" borderId="27" xfId="1" applyFont="1" applyFill="1" applyBorder="1" applyAlignment="1">
      <alignment vertical="center"/>
    </xf>
    <xf numFmtId="165" fontId="38" fillId="0" borderId="0" xfId="1" applyFont="1" applyFill="1" applyBorder="1" applyAlignment="1">
      <alignment vertical="center"/>
    </xf>
    <xf numFmtId="165" fontId="26" fillId="4" borderId="8" xfId="1" applyFont="1" applyFill="1" applyBorder="1" applyAlignment="1">
      <alignment vertical="center"/>
    </xf>
    <xf numFmtId="165" fontId="26" fillId="3" borderId="18" xfId="1" applyFont="1" applyFill="1" applyBorder="1" applyAlignment="1">
      <alignment horizontal="right" vertical="center"/>
    </xf>
    <xf numFmtId="0" fontId="25" fillId="0" borderId="17" xfId="0" applyFont="1" applyBorder="1" applyAlignment="1">
      <alignment horizontal="right" vertical="center" wrapText="1"/>
    </xf>
    <xf numFmtId="165" fontId="25" fillId="0" borderId="17" xfId="0" applyNumberFormat="1" applyFont="1" applyBorder="1" applyAlignment="1">
      <alignment vertical="center"/>
    </xf>
    <xf numFmtId="0" fontId="25" fillId="0" borderId="19" xfId="0" applyFont="1" applyBorder="1" applyAlignment="1">
      <alignment horizontal="center" vertical="center"/>
    </xf>
    <xf numFmtId="165" fontId="25" fillId="0" borderId="17" xfId="1" applyFont="1" applyFill="1" applyBorder="1" applyAlignment="1">
      <alignment vertical="center"/>
    </xf>
    <xf numFmtId="165" fontId="25" fillId="4" borderId="9" xfId="1" applyFont="1" applyFill="1" applyBorder="1" applyAlignment="1">
      <alignment vertical="center"/>
    </xf>
    <xf numFmtId="165" fontId="25" fillId="3" borderId="19" xfId="1" applyFont="1" applyFill="1" applyBorder="1" applyAlignment="1">
      <alignment vertical="center"/>
    </xf>
    <xf numFmtId="165" fontId="25" fillId="3" borderId="30" xfId="1" applyFont="1" applyFill="1" applyBorder="1" applyAlignment="1">
      <alignment horizontal="right" vertical="center"/>
    </xf>
    <xf numFmtId="165" fontId="14" fillId="0" borderId="17" xfId="1" applyFont="1" applyFill="1" applyBorder="1" applyAlignment="1">
      <alignment vertical="center"/>
    </xf>
    <xf numFmtId="165" fontId="14" fillId="0" borderId="17" xfId="0" applyNumberFormat="1" applyFont="1" applyBorder="1" applyAlignment="1">
      <alignment vertical="center"/>
    </xf>
    <xf numFmtId="165" fontId="25" fillId="0" borderId="1" xfId="0" applyNumberFormat="1" applyFont="1" applyBorder="1" applyAlignment="1">
      <alignment vertical="center"/>
    </xf>
    <xf numFmtId="165" fontId="38" fillId="0" borderId="3" xfId="1" applyFont="1" applyFill="1" applyBorder="1" applyAlignment="1">
      <alignment vertical="center"/>
    </xf>
    <xf numFmtId="165" fontId="25" fillId="0" borderId="3" xfId="1" applyFont="1" applyFill="1" applyBorder="1" applyAlignment="1">
      <alignment vertical="center"/>
    </xf>
    <xf numFmtId="165" fontId="25" fillId="4" borderId="28" xfId="1" applyFont="1" applyFill="1" applyBorder="1" applyAlignment="1">
      <alignment horizontal="right" vertical="center"/>
    </xf>
    <xf numFmtId="0" fontId="13" fillId="0" borderId="17" xfId="0" applyFont="1" applyBorder="1" applyAlignment="1">
      <alignment horizontal="left" vertical="center" wrapText="1"/>
    </xf>
    <xf numFmtId="165" fontId="14" fillId="0" borderId="17" xfId="1" applyFont="1" applyFill="1" applyBorder="1" applyAlignment="1">
      <alignment horizontal="right" vertical="center"/>
    </xf>
    <xf numFmtId="165" fontId="14" fillId="5" borderId="21" xfId="1" applyFont="1" applyFill="1" applyBorder="1" applyAlignment="1">
      <alignment horizontal="center" vertical="center"/>
    </xf>
    <xf numFmtId="165" fontId="14" fillId="5" borderId="23" xfId="1" applyFont="1" applyFill="1" applyBorder="1" applyAlignment="1">
      <alignment horizontal="center" vertical="center"/>
    </xf>
    <xf numFmtId="168" fontId="14" fillId="8" borderId="20" xfId="1" applyNumberFormat="1" applyFont="1" applyFill="1" applyBorder="1" applyAlignment="1">
      <alignment horizontal="center" vertical="center"/>
    </xf>
    <xf numFmtId="168" fontId="14" fillId="8" borderId="22" xfId="1" applyNumberFormat="1" applyFont="1" applyFill="1" applyBorder="1" applyAlignment="1">
      <alignment horizontal="center" vertical="center"/>
    </xf>
    <xf numFmtId="168" fontId="25" fillId="8" borderId="21" xfId="1" applyNumberFormat="1" applyFont="1" applyFill="1" applyBorder="1" applyAlignment="1">
      <alignment horizontal="center" vertical="center"/>
    </xf>
    <xf numFmtId="168" fontId="25" fillId="8" borderId="23" xfId="1" applyNumberFormat="1" applyFont="1" applyFill="1" applyBorder="1" applyAlignment="1">
      <alignment horizontal="center" vertical="center"/>
    </xf>
    <xf numFmtId="165" fontId="25" fillId="8" borderId="0" xfId="1" applyFont="1" applyFill="1" applyBorder="1" applyAlignment="1">
      <alignment vertical="center"/>
    </xf>
    <xf numFmtId="9" fontId="25" fillId="8" borderId="0" xfId="4" applyFont="1" applyFill="1" applyBorder="1" applyAlignment="1">
      <alignment vertical="center"/>
    </xf>
    <xf numFmtId="0" fontId="25" fillId="0" borderId="5" xfId="0" applyFont="1" applyBorder="1" applyAlignment="1">
      <alignment horizontal="center"/>
    </xf>
    <xf numFmtId="0" fontId="25" fillId="0" borderId="5" xfId="0" applyFont="1" applyBorder="1" applyAlignment="1">
      <alignment horizontal="right"/>
    </xf>
    <xf numFmtId="0" fontId="25" fillId="0" borderId="9" xfId="0" applyFont="1" applyBorder="1"/>
    <xf numFmtId="0" fontId="25" fillId="0" borderId="17" xfId="0" applyFont="1" applyBorder="1"/>
    <xf numFmtId="0" fontId="25" fillId="0" borderId="28" xfId="0" applyFont="1" applyBorder="1" applyAlignment="1">
      <alignment horizontal="center" vertical="center"/>
    </xf>
    <xf numFmtId="165" fontId="25" fillId="0" borderId="3" xfId="0" applyNumberFormat="1" applyFont="1" applyBorder="1" applyAlignment="1">
      <alignment vertical="center"/>
    </xf>
    <xf numFmtId="165" fontId="25" fillId="4" borderId="27" xfId="1" applyFont="1" applyFill="1" applyBorder="1" applyAlignment="1">
      <alignment vertical="center"/>
    </xf>
    <xf numFmtId="165" fontId="25" fillId="3" borderId="29" xfId="1" applyFont="1" applyFill="1" applyBorder="1" applyAlignment="1">
      <alignment horizontal="right" vertical="center"/>
    </xf>
    <xf numFmtId="165" fontId="25" fillId="0" borderId="1" xfId="1" applyFont="1" applyFill="1" applyBorder="1" applyAlignment="1">
      <alignment vertical="center"/>
    </xf>
    <xf numFmtId="0" fontId="25" fillId="0" borderId="1" xfId="0" applyFont="1" applyBorder="1" applyAlignment="1">
      <alignment horizontal="right" vertical="center" wrapText="1"/>
    </xf>
    <xf numFmtId="2" fontId="25" fillId="4" borderId="6" xfId="2" applyNumberFormat="1" applyFont="1" applyFill="1" applyBorder="1"/>
    <xf numFmtId="2" fontId="25" fillId="4" borderId="10" xfId="2" applyNumberFormat="1" applyFont="1" applyFill="1" applyBorder="1" applyAlignment="1">
      <alignment vertical="center"/>
    </xf>
    <xf numFmtId="2" fontId="25" fillId="4" borderId="27" xfId="2" applyNumberFormat="1" applyFont="1" applyFill="1" applyBorder="1" applyAlignment="1">
      <alignment vertical="center"/>
    </xf>
    <xf numFmtId="2" fontId="25" fillId="4" borderId="8" xfId="2" applyNumberFormat="1" applyFont="1" applyFill="1" applyBorder="1" applyAlignment="1">
      <alignment vertical="center"/>
    </xf>
    <xf numFmtId="2" fontId="25" fillId="4" borderId="28" xfId="2" applyNumberFormat="1" applyFont="1" applyFill="1" applyBorder="1" applyAlignment="1">
      <alignment horizontal="right" vertical="center"/>
    </xf>
    <xf numFmtId="2" fontId="25" fillId="4" borderId="5" xfId="2" applyNumberFormat="1" applyFont="1" applyFill="1" applyBorder="1" applyAlignment="1">
      <alignment horizontal="right" vertical="center"/>
    </xf>
    <xf numFmtId="2" fontId="25" fillId="3" borderId="5" xfId="2" applyNumberFormat="1" applyFont="1" applyFill="1" applyBorder="1" applyAlignment="1">
      <alignment vertical="center"/>
    </xf>
    <xf numFmtId="2" fontId="25" fillId="3" borderId="18" xfId="2" applyNumberFormat="1" applyFont="1" applyFill="1" applyBorder="1" applyAlignment="1">
      <alignment horizontal="right" vertical="center"/>
    </xf>
    <xf numFmtId="2" fontId="38" fillId="4" borderId="8" xfId="2" applyNumberFormat="1" applyFont="1" applyFill="1" applyBorder="1" applyAlignment="1">
      <alignment vertical="center"/>
    </xf>
    <xf numFmtId="2" fontId="38" fillId="4" borderId="5" xfId="2" applyNumberFormat="1" applyFont="1" applyFill="1" applyBorder="1" applyAlignment="1">
      <alignment horizontal="right" vertical="center"/>
    </xf>
    <xf numFmtId="2" fontId="38" fillId="3" borderId="5" xfId="2" applyNumberFormat="1" applyFont="1" applyFill="1" applyBorder="1" applyAlignment="1">
      <alignment vertical="center"/>
    </xf>
    <xf numFmtId="2" fontId="38" fillId="4" borderId="27" xfId="2" applyNumberFormat="1" applyFont="1" applyFill="1" applyBorder="1" applyAlignment="1">
      <alignment vertical="center"/>
    </xf>
    <xf numFmtId="2" fontId="38" fillId="3" borderId="28" xfId="2" applyNumberFormat="1" applyFont="1" applyFill="1" applyBorder="1" applyAlignment="1">
      <alignment vertical="center"/>
    </xf>
    <xf numFmtId="2" fontId="26" fillId="3" borderId="29" xfId="2" applyNumberFormat="1" applyFont="1" applyFill="1" applyBorder="1" applyAlignment="1">
      <alignment horizontal="right" vertical="center"/>
    </xf>
    <xf numFmtId="173" fontId="31" fillId="0" borderId="0" xfId="0" applyNumberFormat="1" applyFont="1"/>
    <xf numFmtId="173" fontId="42" fillId="0" borderId="0" xfId="0" applyNumberFormat="1" applyFont="1" applyProtection="1">
      <protection locked="0"/>
    </xf>
    <xf numFmtId="1" fontId="25" fillId="0" borderId="0" xfId="0" applyNumberFormat="1" applyFont="1"/>
    <xf numFmtId="2" fontId="25" fillId="0" borderId="0" xfId="0" applyNumberFormat="1" applyFont="1"/>
    <xf numFmtId="2" fontId="31" fillId="0" borderId="0" xfId="0" applyNumberFormat="1" applyFont="1"/>
    <xf numFmtId="1" fontId="42" fillId="0" borderId="0" xfId="0" applyNumberFormat="1" applyFont="1" applyProtection="1">
      <protection locked="0"/>
    </xf>
    <xf numFmtId="1" fontId="31" fillId="0" borderId="0" xfId="0" applyNumberFormat="1" applyFont="1" applyProtection="1">
      <protection locked="0"/>
    </xf>
    <xf numFmtId="173" fontId="25" fillId="0" borderId="0" xfId="0" applyNumberFormat="1" applyFont="1" applyProtection="1">
      <protection locked="0"/>
    </xf>
    <xf numFmtId="173" fontId="31" fillId="0" borderId="0" xfId="0" applyNumberFormat="1" applyFont="1" applyProtection="1">
      <protection locked="0"/>
    </xf>
    <xf numFmtId="1" fontId="31" fillId="0" borderId="0" xfId="0" applyNumberFormat="1" applyFont="1"/>
    <xf numFmtId="173" fontId="31" fillId="0" borderId="0" xfId="2" applyNumberFormat="1" applyFont="1" applyFill="1" applyBorder="1" applyAlignment="1" applyProtection="1">
      <protection locked="0"/>
    </xf>
    <xf numFmtId="166" fontId="31" fillId="0" borderId="0" xfId="2" applyNumberFormat="1" applyFont="1" applyFill="1" applyBorder="1"/>
    <xf numFmtId="166" fontId="31" fillId="0" borderId="0" xfId="0" applyNumberFormat="1" applyFont="1" applyAlignment="1">
      <alignment horizontal="right"/>
    </xf>
    <xf numFmtId="164" fontId="31" fillId="0" borderId="0" xfId="2" applyFont="1" applyFill="1" applyBorder="1" applyAlignment="1">
      <alignment horizontal="center"/>
    </xf>
    <xf numFmtId="0" fontId="44" fillId="0" borderId="0" xfId="0" applyFont="1" applyAlignment="1">
      <alignment horizontal="right"/>
    </xf>
    <xf numFmtId="6" fontId="44" fillId="0" borderId="0" xfId="0" applyNumberFormat="1" applyFont="1"/>
    <xf numFmtId="0" fontId="44" fillId="0" borderId="0" xfId="0" applyFont="1"/>
    <xf numFmtId="0" fontId="31" fillId="0" borderId="0" xfId="0" applyFont="1" applyAlignment="1" applyProtection="1">
      <alignment horizontal="center" vertical="center" wrapText="1"/>
      <protection locked="0"/>
    </xf>
    <xf numFmtId="166" fontId="25" fillId="0" borderId="0" xfId="2" applyNumberFormat="1" applyFont="1" applyFill="1" applyBorder="1" applyAlignment="1">
      <alignment horizontal="center" vertical="center" wrapText="1"/>
    </xf>
    <xf numFmtId="166" fontId="25" fillId="0" borderId="0" xfId="2" applyNumberFormat="1" applyFont="1" applyFill="1" applyBorder="1" applyAlignment="1" applyProtection="1">
      <alignment horizontal="center" vertical="center" wrapText="1"/>
      <protection locked="0"/>
    </xf>
    <xf numFmtId="1" fontId="31" fillId="0" borderId="0" xfId="0" applyNumberFormat="1" applyFont="1" applyAlignment="1">
      <alignment horizontal="right" vertical="center"/>
    </xf>
    <xf numFmtId="1" fontId="31" fillId="0" borderId="0" xfId="0" applyNumberFormat="1" applyFont="1" applyAlignment="1">
      <alignment horizontal="right" vertical="center" wrapText="1"/>
    </xf>
    <xf numFmtId="166" fontId="25" fillId="0" borderId="0" xfId="2" applyNumberFormat="1" applyFont="1" applyFill="1" applyBorder="1" applyAlignment="1"/>
    <xf numFmtId="173" fontId="25" fillId="0" borderId="0" xfId="0" applyNumberFormat="1" applyFont="1"/>
    <xf numFmtId="1" fontId="31" fillId="0" borderId="0" xfId="0" applyNumberFormat="1" applyFont="1" applyAlignment="1">
      <alignment horizontal="center"/>
    </xf>
    <xf numFmtId="1" fontId="25" fillId="0" borderId="0" xfId="0" applyNumberFormat="1" applyFont="1" applyAlignment="1">
      <alignment horizontal="right"/>
    </xf>
    <xf numFmtId="0" fontId="45" fillId="0" borderId="0" xfId="0" applyFont="1"/>
    <xf numFmtId="0" fontId="38" fillId="0" borderId="0" xfId="0" applyFont="1"/>
    <xf numFmtId="9" fontId="45" fillId="0" borderId="0" xfId="4" applyFont="1" applyFill="1" applyBorder="1"/>
    <xf numFmtId="0" fontId="45" fillId="0" borderId="0" xfId="0" applyFont="1" applyAlignment="1">
      <alignment horizontal="right"/>
    </xf>
    <xf numFmtId="3" fontId="45" fillId="0" borderId="0" xfId="1" applyNumberFormat="1" applyFont="1" applyFill="1" applyBorder="1"/>
    <xf numFmtId="3" fontId="31" fillId="0" borderId="0" xfId="0" applyNumberFormat="1" applyFont="1" applyAlignment="1">
      <alignment horizontal="right"/>
    </xf>
    <xf numFmtId="169" fontId="46" fillId="0" borderId="0" xfId="4" applyNumberFormat="1" applyFont="1" applyFill="1" applyBorder="1" applyAlignment="1">
      <alignment horizontal="right"/>
    </xf>
    <xf numFmtId="166" fontId="25" fillId="0" borderId="0" xfId="0" applyNumberFormat="1" applyFont="1"/>
    <xf numFmtId="169" fontId="31" fillId="0" borderId="0" xfId="4" applyNumberFormat="1" applyFont="1" applyFill="1" applyBorder="1" applyAlignment="1">
      <alignment horizontal="right"/>
    </xf>
    <xf numFmtId="173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44" fontId="0" fillId="0" borderId="0" xfId="0" applyNumberFormat="1"/>
    <xf numFmtId="173" fontId="0" fillId="0" borderId="0" xfId="0" applyNumberFormat="1" applyAlignment="1">
      <alignment horizontal="center"/>
    </xf>
    <xf numFmtId="164" fontId="0" fillId="0" borderId="0" xfId="2" applyFont="1" applyFill="1" applyBorder="1"/>
    <xf numFmtId="0" fontId="47" fillId="0" borderId="0" xfId="0" applyFont="1" applyAlignment="1">
      <alignment horizontal="center"/>
    </xf>
    <xf numFmtId="164" fontId="25" fillId="0" borderId="0" xfId="2" applyFont="1" applyBorder="1" applyAlignment="1">
      <alignment horizontal="right"/>
    </xf>
    <xf numFmtId="173" fontId="25" fillId="0" borderId="0" xfId="0" applyNumberFormat="1" applyFont="1" applyAlignment="1">
      <alignment horizontal="center"/>
    </xf>
    <xf numFmtId="0" fontId="29" fillId="0" borderId="17" xfId="0" applyFont="1" applyBorder="1" applyAlignment="1">
      <alignment vertical="center"/>
    </xf>
    <xf numFmtId="165" fontId="26" fillId="0" borderId="0" xfId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left" vertical="center" wrapText="1"/>
    </xf>
    <xf numFmtId="0" fontId="24" fillId="0" borderId="8" xfId="0" applyFont="1" applyBorder="1" applyAlignment="1">
      <alignment horizontal="center"/>
    </xf>
    <xf numFmtId="0" fontId="25" fillId="0" borderId="3" xfId="0" applyFont="1" applyBorder="1" applyAlignment="1">
      <alignment horizontal="right"/>
    </xf>
    <xf numFmtId="0" fontId="25" fillId="0" borderId="3" xfId="0" applyFont="1" applyBorder="1"/>
    <xf numFmtId="0" fontId="24" fillId="0" borderId="8" xfId="0" applyFont="1" applyBorder="1"/>
    <xf numFmtId="173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0" fontId="24" fillId="0" borderId="8" xfId="0" applyFont="1" applyBorder="1" applyAlignment="1">
      <alignment horizontal="right"/>
    </xf>
    <xf numFmtId="0" fontId="25" fillId="0" borderId="27" xfId="0" applyFont="1" applyBorder="1"/>
    <xf numFmtId="173" fontId="25" fillId="0" borderId="3" xfId="0" applyNumberFormat="1" applyFont="1" applyBorder="1" applyAlignment="1">
      <alignment horizontal="center"/>
    </xf>
    <xf numFmtId="9" fontId="25" fillId="8" borderId="3" xfId="4" applyFont="1" applyFill="1" applyBorder="1" applyAlignment="1">
      <alignment vertical="center"/>
    </xf>
    <xf numFmtId="0" fontId="23" fillId="0" borderId="3" xfId="0" applyFont="1" applyBorder="1"/>
    <xf numFmtId="164" fontId="25" fillId="4" borderId="8" xfId="2" applyFont="1" applyFill="1" applyBorder="1" applyAlignment="1">
      <alignment horizontal="center"/>
    </xf>
    <xf numFmtId="165" fontId="25" fillId="3" borderId="18" xfId="1" applyFont="1" applyFill="1" applyBorder="1" applyAlignment="1">
      <alignment vertical="center"/>
    </xf>
    <xf numFmtId="164" fontId="25" fillId="4" borderId="5" xfId="2" applyFont="1" applyFill="1" applyBorder="1" applyAlignment="1">
      <alignment horizontal="right"/>
    </xf>
    <xf numFmtId="0" fontId="25" fillId="0" borderId="3" xfId="0" applyFont="1" applyBorder="1" applyAlignment="1">
      <alignment horizontal="right" vertical="center" wrapText="1"/>
    </xf>
    <xf numFmtId="164" fontId="0" fillId="0" borderId="0" xfId="0" applyNumberFormat="1"/>
    <xf numFmtId="0" fontId="47" fillId="0" borderId="0" xfId="0" applyFont="1" applyAlignment="1">
      <alignment horizontal="right"/>
    </xf>
    <xf numFmtId="0" fontId="25" fillId="8" borderId="0" xfId="0" applyFont="1" applyFill="1"/>
    <xf numFmtId="165" fontId="25" fillId="0" borderId="27" xfId="1" applyFont="1" applyFill="1" applyBorder="1" applyAlignment="1">
      <alignment horizontal="center" vertical="center"/>
    </xf>
    <xf numFmtId="43" fontId="25" fillId="0" borderId="8" xfId="0" applyNumberFormat="1" applyFont="1" applyBorder="1" applyAlignment="1">
      <alignment horizontal="center" vertical="center"/>
    </xf>
    <xf numFmtId="0" fontId="25" fillId="3" borderId="30" xfId="0" applyFont="1" applyFill="1" applyBorder="1"/>
    <xf numFmtId="0" fontId="25" fillId="3" borderId="18" xfId="0" applyFont="1" applyFill="1" applyBorder="1"/>
    <xf numFmtId="44" fontId="25" fillId="3" borderId="18" xfId="0" applyNumberFormat="1" applyFont="1" applyFill="1" applyBorder="1"/>
    <xf numFmtId="0" fontId="25" fillId="4" borderId="9" xfId="0" applyFont="1" applyFill="1" applyBorder="1"/>
    <xf numFmtId="0" fontId="25" fillId="4" borderId="8" xfId="0" applyFont="1" applyFill="1" applyBorder="1"/>
    <xf numFmtId="44" fontId="25" fillId="4" borderId="8" xfId="0" applyNumberFormat="1" applyFont="1" applyFill="1" applyBorder="1"/>
    <xf numFmtId="164" fontId="25" fillId="4" borderId="8" xfId="2" applyFont="1" applyFill="1" applyBorder="1" applyAlignment="1">
      <alignment horizontal="right"/>
    </xf>
    <xf numFmtId="0" fontId="25" fillId="3" borderId="19" xfId="0" applyFont="1" applyFill="1" applyBorder="1"/>
    <xf numFmtId="0" fontId="25" fillId="3" borderId="5" xfId="0" applyFont="1" applyFill="1" applyBorder="1"/>
    <xf numFmtId="44" fontId="25" fillId="3" borderId="5" xfId="0" applyNumberFormat="1" applyFont="1" applyFill="1" applyBorder="1"/>
    <xf numFmtId="173" fontId="25" fillId="0" borderId="0" xfId="0" applyNumberFormat="1" applyFont="1" applyAlignment="1">
      <alignment horizontal="right"/>
    </xf>
    <xf numFmtId="0" fontId="47" fillId="0" borderId="8" xfId="0" applyFont="1" applyBorder="1" applyAlignment="1">
      <alignment horizontal="right"/>
    </xf>
    <xf numFmtId="173" fontId="23" fillId="0" borderId="3" xfId="0" applyNumberFormat="1" applyFont="1" applyBorder="1" applyAlignment="1">
      <alignment horizontal="center"/>
    </xf>
    <xf numFmtId="44" fontId="25" fillId="3" borderId="29" xfId="0" applyNumberFormat="1" applyFont="1" applyFill="1" applyBorder="1"/>
    <xf numFmtId="173" fontId="25" fillId="0" borderId="17" xfId="0" applyNumberFormat="1" applyFont="1" applyBorder="1" applyAlignment="1">
      <alignment horizontal="left"/>
    </xf>
    <xf numFmtId="0" fontId="25" fillId="4" borderId="5" xfId="0" applyFont="1" applyFill="1" applyBorder="1"/>
    <xf numFmtId="164" fontId="25" fillId="4" borderId="29" xfId="2" applyFont="1" applyFill="1" applyBorder="1"/>
    <xf numFmtId="0" fontId="25" fillId="4" borderId="18" xfId="0" applyFont="1" applyFill="1" applyBorder="1"/>
    <xf numFmtId="164" fontId="25" fillId="4" borderId="28" xfId="2" applyFont="1" applyFill="1" applyBorder="1"/>
    <xf numFmtId="0" fontId="25" fillId="4" borderId="19" xfId="0" applyFont="1" applyFill="1" applyBorder="1"/>
    <xf numFmtId="0" fontId="25" fillId="4" borderId="30" xfId="0" applyFont="1" applyFill="1" applyBorder="1"/>
    <xf numFmtId="2" fontId="25" fillId="4" borderId="5" xfId="0" applyNumberFormat="1" applyFont="1" applyFill="1" applyBorder="1"/>
    <xf numFmtId="2" fontId="25" fillId="4" borderId="18" xfId="0" applyNumberFormat="1" applyFont="1" applyFill="1" applyBorder="1"/>
    <xf numFmtId="2" fontId="25" fillId="3" borderId="18" xfId="0" applyNumberFormat="1" applyFont="1" applyFill="1" applyBorder="1"/>
    <xf numFmtId="43" fontId="25" fillId="3" borderId="18" xfId="0" applyNumberFormat="1" applyFont="1" applyFill="1" applyBorder="1"/>
    <xf numFmtId="43" fontId="25" fillId="4" borderId="18" xfId="0" applyNumberFormat="1" applyFont="1" applyFill="1" applyBorder="1"/>
    <xf numFmtId="0" fontId="0" fillId="0" borderId="0" xfId="0" applyAlignment="1">
      <alignment horizontal="center"/>
    </xf>
    <xf numFmtId="44" fontId="25" fillId="0" borderId="0" xfId="0" applyNumberFormat="1" applyFont="1" applyAlignment="1">
      <alignment horizontal="right"/>
    </xf>
    <xf numFmtId="164" fontId="25" fillId="4" borderId="5" xfId="2" applyFont="1" applyFill="1" applyBorder="1"/>
    <xf numFmtId="164" fontId="25" fillId="4" borderId="18" xfId="2" applyFont="1" applyFill="1" applyBorder="1"/>
    <xf numFmtId="2" fontId="25" fillId="4" borderId="8" xfId="0" applyNumberFormat="1" applyFont="1" applyFill="1" applyBorder="1"/>
    <xf numFmtId="0" fontId="0" fillId="0" borderId="8" xfId="0" applyBorder="1" applyAlignment="1">
      <alignment horizontal="right"/>
    </xf>
    <xf numFmtId="0" fontId="25" fillId="3" borderId="29" xfId="0" applyFont="1" applyFill="1" applyBorder="1"/>
    <xf numFmtId="0" fontId="25" fillId="4" borderId="28" xfId="0" applyFont="1" applyFill="1" applyBorder="1"/>
    <xf numFmtId="0" fontId="25" fillId="4" borderId="29" xfId="0" applyFont="1" applyFill="1" applyBorder="1"/>
    <xf numFmtId="0" fontId="24" fillId="0" borderId="0" xfId="0" applyFont="1"/>
    <xf numFmtId="164" fontId="24" fillId="0" borderId="0" xfId="2" applyFont="1" applyFill="1" applyBorder="1"/>
    <xf numFmtId="44" fontId="24" fillId="0" borderId="0" xfId="0" applyNumberFormat="1" applyFont="1"/>
    <xf numFmtId="9" fontId="24" fillId="0" borderId="0" xfId="4" applyFont="1" applyFill="1" applyBorder="1"/>
    <xf numFmtId="173" fontId="0" fillId="0" borderId="0" xfId="0" applyNumberFormat="1" applyFont="1" applyAlignment="1">
      <alignment horizontal="left"/>
    </xf>
    <xf numFmtId="0" fontId="0" fillId="0" borderId="31" xfId="0" applyBorder="1"/>
    <xf numFmtId="0" fontId="31" fillId="0" borderId="31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/>
    </xf>
    <xf numFmtId="43" fontId="25" fillId="4" borderId="8" xfId="0" applyNumberFormat="1" applyFont="1" applyFill="1" applyBorder="1"/>
    <xf numFmtId="165" fontId="26" fillId="4" borderId="8" xfId="1" applyFont="1" applyFill="1" applyBorder="1" applyAlignment="1">
      <alignment horizontal="right" vertical="center"/>
    </xf>
    <xf numFmtId="0" fontId="0" fillId="6" borderId="0" xfId="0" applyFill="1"/>
    <xf numFmtId="171" fontId="25" fillId="3" borderId="18" xfId="0" applyNumberFormat="1" applyFont="1" applyFill="1" applyBorder="1"/>
    <xf numFmtId="171" fontId="25" fillId="4" borderId="8" xfId="0" applyNumberFormat="1" applyFont="1" applyFill="1" applyBorder="1"/>
    <xf numFmtId="2" fontId="38" fillId="4" borderId="8" xfId="0" applyNumberFormat="1" applyFont="1" applyFill="1" applyBorder="1"/>
    <xf numFmtId="2" fontId="38" fillId="3" borderId="5" xfId="0" applyNumberFormat="1" applyFont="1" applyFill="1" applyBorder="1"/>
    <xf numFmtId="165" fontId="25" fillId="0" borderId="1" xfId="0" applyNumberFormat="1" applyFont="1" applyBorder="1" applyAlignment="1">
      <alignment horizontal="center" vertical="center"/>
    </xf>
    <xf numFmtId="165" fontId="25" fillId="0" borderId="1" xfId="1" applyFont="1" applyFill="1" applyBorder="1" applyAlignment="1">
      <alignment horizontal="center" vertical="center"/>
    </xf>
    <xf numFmtId="164" fontId="1" fillId="6" borderId="0" xfId="2" applyFont="1" applyFill="1"/>
    <xf numFmtId="44" fontId="0" fillId="6" borderId="0" xfId="0" applyNumberFormat="1" applyFill="1"/>
    <xf numFmtId="0" fontId="0" fillId="6" borderId="0" xfId="0" applyFill="1" applyAlignment="1">
      <alignment horizontal="right"/>
    </xf>
    <xf numFmtId="0" fontId="24" fillId="0" borderId="0" xfId="0" applyFont="1" applyAlignment="1">
      <alignment horizontal="left"/>
    </xf>
    <xf numFmtId="173" fontId="0" fillId="0" borderId="0" xfId="0" applyNumberFormat="1"/>
    <xf numFmtId="9" fontId="0" fillId="0" borderId="17" xfId="0" applyNumberFormat="1" applyBorder="1" applyAlignment="1">
      <alignment horizontal="center"/>
    </xf>
    <xf numFmtId="44" fontId="0" fillId="0" borderId="17" xfId="0" applyNumberFormat="1" applyBorder="1"/>
    <xf numFmtId="173" fontId="25" fillId="8" borderId="8" xfId="0" applyNumberFormat="1" applyFont="1" applyFill="1" applyBorder="1" applyAlignment="1">
      <alignment horizontal="center"/>
    </xf>
    <xf numFmtId="165" fontId="25" fillId="3" borderId="30" xfId="0" applyNumberFormat="1" applyFont="1" applyFill="1" applyBorder="1"/>
    <xf numFmtId="165" fontId="25" fillId="3" borderId="29" xfId="1" applyFont="1" applyFill="1" applyBorder="1" applyAlignment="1">
      <alignment vertical="center"/>
    </xf>
    <xf numFmtId="165" fontId="25" fillId="4" borderId="19" xfId="0" applyNumberFormat="1" applyFont="1" applyFill="1" applyBorder="1"/>
    <xf numFmtId="0" fontId="31" fillId="0" borderId="8" xfId="0" applyFont="1" applyBorder="1" applyAlignment="1">
      <alignment horizontal="center" vertical="center" wrapText="1"/>
    </xf>
    <xf numFmtId="0" fontId="26" fillId="0" borderId="0" xfId="0" applyFont="1" applyAlignment="1">
      <alignment horizontal="right" vertical="center"/>
    </xf>
    <xf numFmtId="165" fontId="26" fillId="0" borderId="18" xfId="1" applyFont="1" applyFill="1" applyBorder="1" applyAlignment="1">
      <alignment vertical="center"/>
    </xf>
    <xf numFmtId="0" fontId="26" fillId="0" borderId="18" xfId="0" applyFont="1" applyBorder="1" applyAlignment="1">
      <alignment vertical="center"/>
    </xf>
    <xf numFmtId="165" fontId="25" fillId="4" borderId="18" xfId="1" applyFont="1" applyFill="1" applyBorder="1" applyAlignment="1">
      <alignment horizontal="right" vertical="center"/>
    </xf>
    <xf numFmtId="165" fontId="26" fillId="4" borderId="18" xfId="1" applyFont="1" applyFill="1" applyBorder="1" applyAlignment="1">
      <alignment horizontal="right" vertical="center"/>
    </xf>
    <xf numFmtId="0" fontId="26" fillId="4" borderId="5" xfId="0" applyFont="1" applyFill="1" applyBorder="1" applyAlignment="1">
      <alignment vertical="center"/>
    </xf>
    <xf numFmtId="0" fontId="26" fillId="3" borderId="5" xfId="0" applyFont="1" applyFill="1" applyBorder="1" applyAlignment="1">
      <alignment vertical="center"/>
    </xf>
    <xf numFmtId="0" fontId="26" fillId="3" borderId="18" xfId="0" applyFont="1" applyFill="1" applyBorder="1" applyAlignment="1">
      <alignment vertical="center"/>
    </xf>
    <xf numFmtId="165" fontId="14" fillId="4" borderId="8" xfId="1" applyFont="1" applyFill="1" applyBorder="1" applyAlignment="1">
      <alignment vertical="center"/>
    </xf>
    <xf numFmtId="0" fontId="26" fillId="4" borderId="8" xfId="0" applyFont="1" applyFill="1" applyBorder="1" applyAlignment="1">
      <alignment vertical="center"/>
    </xf>
    <xf numFmtId="0" fontId="25" fillId="4" borderId="8" xfId="0" applyFont="1" applyFill="1" applyBorder="1" applyAlignment="1">
      <alignment vertical="center"/>
    </xf>
    <xf numFmtId="165" fontId="25" fillId="4" borderId="9" xfId="1" applyFont="1" applyFill="1" applyBorder="1" applyAlignment="1">
      <alignment horizontal="right" vertical="center"/>
    </xf>
    <xf numFmtId="169" fontId="25" fillId="0" borderId="0" xfId="4" applyNumberFormat="1" applyFont="1" applyFill="1" applyAlignment="1">
      <alignment vertical="center"/>
    </xf>
    <xf numFmtId="9" fontId="39" fillId="0" borderId="0" xfId="0" applyNumberFormat="1" applyFont="1" applyAlignment="1">
      <alignment vertical="center"/>
    </xf>
    <xf numFmtId="168" fontId="39" fillId="0" borderId="0" xfId="0" applyNumberFormat="1" applyFont="1" applyAlignment="1">
      <alignment vertical="center"/>
    </xf>
    <xf numFmtId="0" fontId="25" fillId="0" borderId="0" xfId="0" applyFont="1" applyAlignment="1">
      <alignment vertical="center" textRotation="45"/>
    </xf>
    <xf numFmtId="43" fontId="25" fillId="0" borderId="5" xfId="0" applyNumberFormat="1" applyFont="1" applyBorder="1" applyAlignment="1">
      <alignment horizontal="center"/>
    </xf>
    <xf numFmtId="0" fontId="25" fillId="5" borderId="0" xfId="0" applyFont="1" applyFill="1"/>
    <xf numFmtId="0" fontId="48" fillId="0" borderId="0" xfId="0" applyFont="1"/>
    <xf numFmtId="0" fontId="26" fillId="5" borderId="0" xfId="0" applyFont="1" applyFill="1" applyAlignment="1">
      <alignment horizontal="right" vertical="center" wrapText="1"/>
    </xf>
    <xf numFmtId="165" fontId="49" fillId="4" borderId="5" xfId="1" applyFont="1" applyFill="1" applyBorder="1" applyAlignment="1">
      <alignment vertical="center"/>
    </xf>
    <xf numFmtId="165" fontId="49" fillId="3" borderId="5" xfId="1" applyFont="1" applyFill="1" applyBorder="1" applyAlignment="1">
      <alignment vertical="center"/>
    </xf>
    <xf numFmtId="0" fontId="2" fillId="0" borderId="32" xfId="0" applyFont="1" applyBorder="1" applyAlignment="1">
      <alignment horizontal="left" vertical="center"/>
    </xf>
    <xf numFmtId="165" fontId="25" fillId="0" borderId="5" xfId="0" applyNumberFormat="1" applyFont="1" applyBorder="1" applyAlignment="1">
      <alignment horizontal="center"/>
    </xf>
    <xf numFmtId="167" fontId="25" fillId="8" borderId="0" xfId="0" applyNumberFormat="1" applyFont="1" applyFill="1" applyAlignment="1">
      <alignment horizontal="right" vertical="center"/>
    </xf>
    <xf numFmtId="167" fontId="25" fillId="8" borderId="33" xfId="0" applyNumberFormat="1" applyFont="1" applyFill="1" applyBorder="1" applyAlignment="1">
      <alignment horizontal="right" vertical="center"/>
    </xf>
    <xf numFmtId="0" fontId="25" fillId="0" borderId="0" xfId="0" applyFont="1" applyAlignment="1">
      <alignment horizontal="right" vertical="center"/>
    </xf>
    <xf numFmtId="165" fontId="25" fillId="0" borderId="17" xfId="0" applyNumberFormat="1" applyFont="1" applyBorder="1" applyAlignment="1">
      <alignment horizontal="right" vertical="center"/>
    </xf>
    <xf numFmtId="0" fontId="25" fillId="0" borderId="17" xfId="0" applyFont="1" applyBorder="1" applyAlignment="1">
      <alignment horizontal="right"/>
    </xf>
    <xf numFmtId="168" fontId="25" fillId="0" borderId="0" xfId="1" applyNumberFormat="1" applyFont="1" applyFill="1" applyBorder="1" applyAlignment="1">
      <alignment horizontal="right" vertical="center"/>
    </xf>
    <xf numFmtId="167" fontId="25" fillId="0" borderId="1" xfId="1" applyNumberFormat="1" applyFont="1" applyFill="1" applyBorder="1" applyAlignment="1">
      <alignment horizontal="right" vertical="center"/>
    </xf>
    <xf numFmtId="167" fontId="25" fillId="0" borderId="0" xfId="0" applyNumberFormat="1" applyFont="1" applyAlignment="1">
      <alignment horizontal="right" vertical="center"/>
    </xf>
    <xf numFmtId="167" fontId="31" fillId="0" borderId="0" xfId="0" applyNumberFormat="1" applyFont="1" applyAlignment="1">
      <alignment horizontal="right" vertical="center"/>
    </xf>
    <xf numFmtId="167" fontId="25" fillId="0" borderId="0" xfId="0" applyNumberFormat="1" applyFont="1" applyAlignment="1">
      <alignment horizontal="right"/>
    </xf>
    <xf numFmtId="167" fontId="25" fillId="0" borderId="0" xfId="1" applyNumberFormat="1" applyFont="1" applyFill="1" applyBorder="1" applyAlignment="1">
      <alignment horizontal="right" vertical="center"/>
    </xf>
    <xf numFmtId="167" fontId="25" fillId="8" borderId="0" xfId="1" applyNumberFormat="1" applyFont="1" applyFill="1" applyBorder="1" applyAlignment="1">
      <alignment horizontal="right" vertical="center"/>
    </xf>
    <xf numFmtId="167" fontId="25" fillId="0" borderId="17" xfId="0" applyNumberFormat="1" applyFont="1" applyBorder="1" applyAlignment="1">
      <alignment horizontal="right" vertical="center"/>
    </xf>
    <xf numFmtId="167" fontId="25" fillId="0" borderId="17" xfId="0" applyNumberFormat="1" applyFont="1" applyBorder="1" applyAlignment="1">
      <alignment horizontal="right"/>
    </xf>
    <xf numFmtId="167" fontId="25" fillId="8" borderId="1" xfId="2" applyNumberFormat="1" applyFont="1" applyFill="1" applyBorder="1" applyAlignment="1">
      <alignment horizontal="right" vertical="center"/>
    </xf>
    <xf numFmtId="167" fontId="25" fillId="0" borderId="1" xfId="0" applyNumberFormat="1" applyFont="1" applyBorder="1" applyAlignment="1">
      <alignment horizontal="right" vertical="center"/>
    </xf>
    <xf numFmtId="167" fontId="25" fillId="8" borderId="3" xfId="2" applyNumberFormat="1" applyFont="1" applyFill="1" applyBorder="1" applyAlignment="1">
      <alignment horizontal="right" vertical="center"/>
    </xf>
    <xf numFmtId="167" fontId="25" fillId="0" borderId="3" xfId="0" applyNumberFormat="1" applyFont="1" applyBorder="1" applyAlignment="1">
      <alignment horizontal="right" vertical="center"/>
    </xf>
    <xf numFmtId="167" fontId="25" fillId="0" borderId="0" xfId="0" applyNumberFormat="1" applyFont="1" applyAlignment="1">
      <alignment horizontal="right" vertical="center" wrapText="1"/>
    </xf>
    <xf numFmtId="167" fontId="47" fillId="0" borderId="0" xfId="0" applyNumberFormat="1" applyFont="1" applyAlignment="1">
      <alignment horizontal="right"/>
    </xf>
    <xf numFmtId="167" fontId="25" fillId="8" borderId="0" xfId="0" applyNumberFormat="1" applyFont="1" applyFill="1" applyAlignment="1">
      <alignment horizontal="right"/>
    </xf>
    <xf numFmtId="167" fontId="25" fillId="0" borderId="3" xfId="0" applyNumberFormat="1" applyFont="1" applyBorder="1" applyAlignment="1">
      <alignment horizontal="right"/>
    </xf>
    <xf numFmtId="167" fontId="25" fillId="0" borderId="17" xfId="1" applyNumberFormat="1" applyFont="1" applyFill="1" applyBorder="1" applyAlignment="1">
      <alignment horizontal="right" vertical="center"/>
    </xf>
    <xf numFmtId="167" fontId="25" fillId="2" borderId="1" xfId="0" applyNumberFormat="1" applyFont="1" applyFill="1" applyBorder="1" applyAlignment="1">
      <alignment horizontal="right" vertical="center"/>
    </xf>
    <xf numFmtId="167" fontId="31" fillId="0" borderId="15" xfId="0" applyNumberFormat="1" applyFont="1" applyBorder="1" applyAlignment="1">
      <alignment horizontal="right" vertical="center"/>
    </xf>
    <xf numFmtId="167" fontId="25" fillId="0" borderId="18" xfId="0" applyNumberFormat="1" applyFont="1" applyBorder="1" applyAlignment="1">
      <alignment horizontal="right" vertical="center" wrapText="1"/>
    </xf>
    <xf numFmtId="167" fontId="25" fillId="0" borderId="0" xfId="1" applyNumberFormat="1" applyFont="1" applyFill="1" applyBorder="1" applyAlignment="1">
      <alignment horizontal="right" vertical="center" wrapText="1"/>
    </xf>
    <xf numFmtId="167" fontId="25" fillId="8" borderId="0" xfId="0" applyNumberFormat="1" applyFont="1" applyFill="1" applyAlignment="1">
      <alignment horizontal="right" vertical="center" wrapText="1"/>
    </xf>
    <xf numFmtId="167" fontId="31" fillId="0" borderId="34" xfId="0" applyNumberFormat="1" applyFont="1" applyBorder="1" applyAlignment="1">
      <alignment horizontal="right" vertical="center"/>
    </xf>
    <xf numFmtId="167" fontId="25" fillId="0" borderId="15" xfId="0" applyNumberFormat="1" applyFont="1" applyBorder="1" applyAlignment="1">
      <alignment horizontal="right"/>
    </xf>
    <xf numFmtId="167" fontId="25" fillId="0" borderId="15" xfId="0" applyNumberFormat="1" applyFont="1" applyBorder="1" applyAlignment="1">
      <alignment horizontal="right" vertical="center"/>
    </xf>
    <xf numFmtId="167" fontId="25" fillId="8" borderId="0" xfId="1" applyNumberFormat="1" applyFont="1" applyFill="1" applyBorder="1" applyAlignment="1">
      <alignment horizontal="right" vertical="center" wrapText="1"/>
    </xf>
    <xf numFmtId="167" fontId="31" fillId="0" borderId="0" xfId="1" applyNumberFormat="1" applyFont="1" applyFill="1" applyBorder="1" applyAlignment="1">
      <alignment horizontal="right" vertical="center" wrapText="1"/>
    </xf>
    <xf numFmtId="167" fontId="25" fillId="0" borderId="6" xfId="0" applyNumberFormat="1" applyFont="1" applyBorder="1" applyAlignment="1">
      <alignment horizontal="right" vertical="center"/>
    </xf>
    <xf numFmtId="43" fontId="25" fillId="0" borderId="5" xfId="0" applyNumberFormat="1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167" fontId="25" fillId="0" borderId="0" xfId="0" applyNumberFormat="1" applyFont="1" applyAlignment="1">
      <alignment horizontal="center" vertical="center"/>
    </xf>
    <xf numFmtId="165" fontId="25" fillId="0" borderId="15" xfId="0" applyNumberFormat="1" applyFont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0" fontId="31" fillId="0" borderId="5" xfId="0" applyFont="1" applyBorder="1" applyAlignment="1">
      <alignment horizontal="center"/>
    </xf>
    <xf numFmtId="168" fontId="25" fillId="0" borderId="5" xfId="0" applyNumberFormat="1" applyFont="1" applyBorder="1" applyAlignment="1">
      <alignment horizontal="center" vertical="center"/>
    </xf>
    <xf numFmtId="0" fontId="14" fillId="0" borderId="0" xfId="0" applyFont="1"/>
    <xf numFmtId="0" fontId="25" fillId="0" borderId="6" xfId="0" applyFont="1" applyBorder="1" applyAlignment="1">
      <alignment horizontal="right" vertical="center"/>
    </xf>
    <xf numFmtId="165" fontId="25" fillId="0" borderId="19" xfId="0" applyNumberFormat="1" applyFont="1" applyBorder="1" applyAlignment="1">
      <alignment horizontal="right" vertical="center"/>
    </xf>
    <xf numFmtId="165" fontId="25" fillId="0" borderId="5" xfId="0" applyNumberFormat="1" applyFont="1" applyBorder="1" applyAlignment="1">
      <alignment horizontal="right" vertical="center"/>
    </xf>
    <xf numFmtId="168" fontId="31" fillId="8" borderId="5" xfId="0" applyNumberFormat="1" applyFont="1" applyFill="1" applyBorder="1" applyAlignment="1">
      <alignment horizontal="right" vertical="center"/>
    </xf>
    <xf numFmtId="168" fontId="31" fillId="0" borderId="5" xfId="0" applyNumberFormat="1" applyFont="1" applyBorder="1" applyAlignment="1">
      <alignment horizontal="right" vertical="center"/>
    </xf>
    <xf numFmtId="167" fontId="25" fillId="0" borderId="5" xfId="0" applyNumberFormat="1" applyFont="1" applyBorder="1" applyAlignment="1">
      <alignment horizontal="right" vertical="center"/>
    </xf>
    <xf numFmtId="167" fontId="25" fillId="0" borderId="35" xfId="1" applyNumberFormat="1" applyFont="1" applyFill="1" applyBorder="1" applyAlignment="1">
      <alignment horizontal="right" vertical="center"/>
    </xf>
    <xf numFmtId="165" fontId="31" fillId="0" borderId="5" xfId="1" applyFont="1" applyFill="1" applyBorder="1" applyAlignment="1">
      <alignment horizontal="right" vertical="center"/>
    </xf>
    <xf numFmtId="168" fontId="31" fillId="0" borderId="5" xfId="1" applyNumberFormat="1" applyFont="1" applyFill="1" applyBorder="1" applyAlignment="1">
      <alignment horizontal="right" vertical="center"/>
    </xf>
    <xf numFmtId="167" fontId="25" fillId="0" borderId="5" xfId="1" applyNumberFormat="1" applyFont="1" applyFill="1" applyBorder="1" applyAlignment="1">
      <alignment horizontal="right" vertical="center"/>
    </xf>
    <xf numFmtId="165" fontId="25" fillId="2" borderId="6" xfId="0" applyNumberFormat="1" applyFont="1" applyFill="1" applyBorder="1" applyAlignment="1">
      <alignment horizontal="right" vertical="center"/>
    </xf>
    <xf numFmtId="165" fontId="31" fillId="0" borderId="26" xfId="0" applyNumberFormat="1" applyFont="1" applyBorder="1" applyAlignment="1">
      <alignment horizontal="right" vertical="center"/>
    </xf>
    <xf numFmtId="165" fontId="25" fillId="0" borderId="36" xfId="0" applyNumberFormat="1" applyFont="1" applyBorder="1" applyAlignment="1">
      <alignment horizontal="right" vertical="center"/>
    </xf>
    <xf numFmtId="165" fontId="25" fillId="0" borderId="37" xfId="0" applyNumberFormat="1" applyFont="1" applyBorder="1" applyAlignment="1">
      <alignment horizontal="right" vertical="center"/>
    </xf>
    <xf numFmtId="2" fontId="31" fillId="0" borderId="0" xfId="0" applyNumberFormat="1" applyFont="1" applyAlignment="1">
      <alignment horizontal="right" vertical="center"/>
    </xf>
    <xf numFmtId="165" fontId="25" fillId="0" borderId="5" xfId="1" applyFont="1" applyFill="1" applyBorder="1" applyAlignment="1">
      <alignment horizontal="right" vertical="center"/>
    </xf>
    <xf numFmtId="168" fontId="25" fillId="0" borderId="5" xfId="0" applyNumberFormat="1" applyFont="1" applyBorder="1" applyAlignment="1">
      <alignment horizontal="right"/>
    </xf>
    <xf numFmtId="1" fontId="25" fillId="8" borderId="5" xfId="0" applyNumberFormat="1" applyFont="1" applyFill="1" applyBorder="1" applyAlignment="1">
      <alignment horizontal="right"/>
    </xf>
    <xf numFmtId="171" fontId="25" fillId="0" borderId="5" xfId="0" applyNumberFormat="1" applyFont="1" applyBorder="1" applyAlignment="1">
      <alignment horizontal="right"/>
    </xf>
    <xf numFmtId="168" fontId="25" fillId="0" borderId="19" xfId="1" applyNumberFormat="1" applyFont="1" applyFill="1" applyBorder="1" applyAlignment="1">
      <alignment horizontal="right" vertical="center"/>
    </xf>
    <xf numFmtId="168" fontId="25" fillId="0" borderId="6" xfId="1" applyNumberFormat="1" applyFont="1" applyFill="1" applyBorder="1" applyAlignment="1">
      <alignment horizontal="right" vertical="center"/>
    </xf>
    <xf numFmtId="168" fontId="25" fillId="0" borderId="28" xfId="1" applyNumberFormat="1" applyFont="1" applyFill="1" applyBorder="1" applyAlignment="1">
      <alignment horizontal="right" vertical="center"/>
    </xf>
    <xf numFmtId="165" fontId="25" fillId="0" borderId="28" xfId="1" applyFont="1" applyFill="1" applyBorder="1" applyAlignment="1">
      <alignment horizontal="right" vertical="center"/>
    </xf>
    <xf numFmtId="0" fontId="47" fillId="0" borderId="5" xfId="0" applyFont="1" applyBorder="1" applyAlignment="1">
      <alignment horizontal="right"/>
    </xf>
    <xf numFmtId="2" fontId="25" fillId="0" borderId="5" xfId="0" applyNumberFormat="1" applyFont="1" applyBorder="1" applyAlignment="1">
      <alignment horizontal="right"/>
    </xf>
    <xf numFmtId="2" fontId="25" fillId="0" borderId="28" xfId="0" applyNumberFormat="1" applyFont="1" applyBorder="1" applyAlignment="1">
      <alignment horizontal="right"/>
    </xf>
    <xf numFmtId="165" fontId="25" fillId="0" borderId="19" xfId="1" applyFont="1" applyFill="1" applyBorder="1" applyAlignment="1">
      <alignment horizontal="right" vertical="center"/>
    </xf>
    <xf numFmtId="164" fontId="25" fillId="0" borderId="5" xfId="2" applyFont="1" applyFill="1" applyBorder="1" applyAlignment="1">
      <alignment horizontal="right"/>
    </xf>
    <xf numFmtId="0" fontId="25" fillId="0" borderId="28" xfId="0" applyFont="1" applyBorder="1" applyAlignment="1">
      <alignment horizontal="right"/>
    </xf>
    <xf numFmtId="0" fontId="25" fillId="0" borderId="19" xfId="0" applyFont="1" applyBorder="1" applyAlignment="1">
      <alignment horizontal="right"/>
    </xf>
    <xf numFmtId="44" fontId="25" fillId="0" borderId="17" xfId="0" applyNumberFormat="1" applyFont="1" applyBorder="1" applyAlignment="1">
      <alignment horizontal="right"/>
    </xf>
    <xf numFmtId="164" fontId="47" fillId="0" borderId="38" xfId="2" applyFont="1" applyFill="1" applyBorder="1" applyAlignment="1">
      <alignment horizontal="right"/>
    </xf>
    <xf numFmtId="165" fontId="47" fillId="0" borderId="36" xfId="0" applyNumberFormat="1" applyFont="1" applyBorder="1" applyAlignment="1">
      <alignment horizontal="right"/>
    </xf>
    <xf numFmtId="165" fontId="25" fillId="0" borderId="38" xfId="0" applyNumberFormat="1" applyFont="1" applyBorder="1" applyAlignment="1">
      <alignment horizontal="right" vertical="center"/>
    </xf>
    <xf numFmtId="165" fontId="25" fillId="0" borderId="5" xfId="0" applyNumberFormat="1" applyFont="1" applyBorder="1" applyAlignment="1">
      <alignment horizontal="right"/>
    </xf>
    <xf numFmtId="43" fontId="25" fillId="0" borderId="5" xfId="0" applyNumberFormat="1" applyFont="1" applyBorder="1" applyAlignment="1">
      <alignment horizontal="right"/>
    </xf>
    <xf numFmtId="168" fontId="25" fillId="0" borderId="5" xfId="0" applyNumberFormat="1" applyFont="1" applyBorder="1" applyAlignment="1">
      <alignment horizontal="right" vertical="center"/>
    </xf>
    <xf numFmtId="43" fontId="25" fillId="0" borderId="5" xfId="0" applyNumberFormat="1" applyFont="1" applyBorder="1" applyAlignment="1">
      <alignment horizontal="right" vertical="center"/>
    </xf>
    <xf numFmtId="165" fontId="25" fillId="0" borderId="7" xfId="0" applyNumberFormat="1" applyFont="1" applyBorder="1" applyAlignment="1">
      <alignment horizontal="right" vertical="center"/>
    </xf>
    <xf numFmtId="0" fontId="25" fillId="0" borderId="5" xfId="0" applyFont="1" applyBorder="1" applyAlignment="1">
      <alignment horizontal="right" vertical="center"/>
    </xf>
    <xf numFmtId="168" fontId="25" fillId="0" borderId="0" xfId="0" applyNumberFormat="1" applyFont="1" applyAlignment="1">
      <alignment horizontal="right" vertical="center"/>
    </xf>
    <xf numFmtId="43" fontId="25" fillId="0" borderId="0" xfId="0" applyNumberFormat="1" applyFont="1" applyAlignment="1">
      <alignment horizontal="right" vertical="center"/>
    </xf>
    <xf numFmtId="43" fontId="25" fillId="0" borderId="5" xfId="0" applyNumberFormat="1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/>
    </xf>
    <xf numFmtId="0" fontId="25" fillId="0" borderId="19" xfId="0" applyFont="1" applyBorder="1" applyAlignment="1">
      <alignment horizontal="center"/>
    </xf>
    <xf numFmtId="43" fontId="25" fillId="0" borderId="8" xfId="0" applyNumberFormat="1" applyFont="1" applyBorder="1" applyAlignment="1">
      <alignment horizontal="center" vertical="center" wrapText="1"/>
    </xf>
    <xf numFmtId="0" fontId="47" fillId="0" borderId="8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2" fontId="25" fillId="0" borderId="8" xfId="0" applyNumberFormat="1" applyFont="1" applyBorder="1" applyAlignment="1">
      <alignment horizontal="center"/>
    </xf>
    <xf numFmtId="0" fontId="25" fillId="8" borderId="9" xfId="0" applyFont="1" applyFill="1" applyBorder="1" applyAlignment="1">
      <alignment horizontal="center"/>
    </xf>
    <xf numFmtId="173" fontId="25" fillId="0" borderId="8" xfId="0" applyNumberFormat="1" applyFont="1" applyBorder="1" applyAlignment="1">
      <alignment horizontal="center"/>
    </xf>
    <xf numFmtId="173" fontId="25" fillId="0" borderId="5" xfId="0" applyNumberFormat="1" applyFont="1" applyBorder="1" applyAlignment="1">
      <alignment horizontal="center"/>
    </xf>
    <xf numFmtId="2" fontId="25" fillId="0" borderId="5" xfId="0" applyNumberFormat="1" applyFont="1" applyBorder="1" applyAlignment="1">
      <alignment horizontal="center"/>
    </xf>
    <xf numFmtId="173" fontId="25" fillId="0" borderId="28" xfId="0" applyNumberFormat="1" applyFont="1" applyBorder="1" applyAlignment="1">
      <alignment horizontal="center"/>
    </xf>
    <xf numFmtId="0" fontId="25" fillId="8" borderId="19" xfId="0" applyFont="1" applyFill="1" applyBorder="1" applyAlignment="1">
      <alignment horizontal="center"/>
    </xf>
    <xf numFmtId="1" fontId="25" fillId="0" borderId="5" xfId="0" applyNumberFormat="1" applyFont="1" applyBorder="1" applyAlignment="1">
      <alignment horizontal="center"/>
    </xf>
    <xf numFmtId="0" fontId="25" fillId="0" borderId="28" xfId="0" applyFont="1" applyBorder="1" applyAlignment="1">
      <alignment horizontal="center"/>
    </xf>
    <xf numFmtId="0" fontId="25" fillId="0" borderId="17" xfId="0" applyFont="1" applyBorder="1" applyAlignment="1">
      <alignment horizontal="center"/>
    </xf>
    <xf numFmtId="165" fontId="25" fillId="0" borderId="5" xfId="0" applyNumberFormat="1" applyFont="1" applyBorder="1" applyAlignment="1">
      <alignment horizontal="center" vertical="center"/>
    </xf>
    <xf numFmtId="165" fontId="25" fillId="0" borderId="5" xfId="1" applyFont="1" applyFill="1" applyBorder="1" applyAlignment="1">
      <alignment horizontal="center" vertical="center"/>
    </xf>
    <xf numFmtId="0" fontId="16" fillId="0" borderId="39" xfId="0" applyFont="1" applyBorder="1" applyAlignment="1">
      <alignment horizontal="left" vertical="center" wrapText="1" indent="1"/>
    </xf>
    <xf numFmtId="167" fontId="25" fillId="0" borderId="39" xfId="1" applyNumberFormat="1" applyFont="1" applyFill="1" applyBorder="1" applyAlignment="1">
      <alignment horizontal="right" vertical="center" wrapText="1"/>
    </xf>
    <xf numFmtId="0" fontId="31" fillId="0" borderId="35" xfId="0" applyFont="1" applyBorder="1" applyAlignment="1">
      <alignment horizontal="center" vertical="center"/>
    </xf>
    <xf numFmtId="167" fontId="25" fillId="0" borderId="40" xfId="1" applyNumberFormat="1" applyFont="1" applyFill="1" applyBorder="1" applyAlignment="1">
      <alignment horizontal="right" vertical="center"/>
    </xf>
    <xf numFmtId="168" fontId="31" fillId="0" borderId="35" xfId="1" applyNumberFormat="1" applyFont="1" applyFill="1" applyBorder="1" applyAlignment="1">
      <alignment horizontal="right" vertical="center"/>
    </xf>
    <xf numFmtId="168" fontId="25" fillId="0" borderId="0" xfId="0" applyNumberFormat="1" applyFont="1" applyAlignment="1">
      <alignment horizontal="right" vertical="center" wrapText="1"/>
    </xf>
    <xf numFmtId="170" fontId="25" fillId="0" borderId="5" xfId="0" applyNumberFormat="1" applyFont="1" applyBorder="1" applyAlignment="1">
      <alignment horizontal="center" vertical="center"/>
    </xf>
    <xf numFmtId="0" fontId="14" fillId="9" borderId="31" xfId="0" applyFont="1" applyFill="1" applyBorder="1" applyAlignment="1">
      <alignment horizontal="center" vertical="center" wrapText="1"/>
    </xf>
    <xf numFmtId="0" fontId="14" fillId="9" borderId="38" xfId="0" applyFont="1" applyFill="1" applyBorder="1" applyAlignment="1">
      <alignment horizontal="center" wrapText="1"/>
    </xf>
    <xf numFmtId="0" fontId="14" fillId="9" borderId="41" xfId="0" applyFont="1" applyFill="1" applyBorder="1" applyAlignment="1">
      <alignment horizontal="center" wrapText="1"/>
    </xf>
    <xf numFmtId="0" fontId="14" fillId="9" borderId="15" xfId="0" applyFont="1" applyFill="1" applyBorder="1" applyAlignment="1">
      <alignment horizontal="center" wrapText="1"/>
    </xf>
    <xf numFmtId="0" fontId="14" fillId="9" borderId="42" xfId="0" applyFont="1" applyFill="1" applyBorder="1" applyAlignment="1">
      <alignment horizontal="center" vertical="center"/>
    </xf>
    <xf numFmtId="0" fontId="14" fillId="9" borderId="43" xfId="0" applyFont="1" applyFill="1" applyBorder="1" applyAlignment="1">
      <alignment horizontal="center" vertical="center"/>
    </xf>
    <xf numFmtId="0" fontId="14" fillId="9" borderId="44" xfId="0" applyFont="1" applyFill="1" applyBorder="1" applyAlignment="1">
      <alignment horizontal="center" vertical="center"/>
    </xf>
    <xf numFmtId="0" fontId="25" fillId="9" borderId="43" xfId="0" applyFont="1" applyFill="1" applyBorder="1" applyAlignment="1">
      <alignment horizontal="center" vertical="center"/>
    </xf>
    <xf numFmtId="0" fontId="14" fillId="9" borderId="43" xfId="0" applyFont="1" applyFill="1" applyBorder="1"/>
    <xf numFmtId="2" fontId="14" fillId="9" borderId="45" xfId="0" applyNumberFormat="1" applyFont="1" applyFill="1" applyBorder="1" applyAlignment="1">
      <alignment horizontal="center"/>
    </xf>
    <xf numFmtId="0" fontId="14" fillId="9" borderId="38" xfId="0" applyFont="1" applyFill="1" applyBorder="1" applyAlignment="1">
      <alignment horizontal="center" vertical="center" wrapText="1"/>
    </xf>
    <xf numFmtId="173" fontId="14" fillId="9" borderId="46" xfId="0" applyNumberFormat="1" applyFont="1" applyFill="1" applyBorder="1"/>
    <xf numFmtId="173" fontId="14" fillId="9" borderId="47" xfId="0" applyNumberFormat="1" applyFont="1" applyFill="1" applyBorder="1"/>
    <xf numFmtId="0" fontId="25" fillId="9" borderId="20" xfId="0" applyFont="1" applyFill="1" applyBorder="1" applyAlignment="1">
      <alignment horizontal="center" vertical="center"/>
    </xf>
    <xf numFmtId="0" fontId="25" fillId="9" borderId="31" xfId="0" applyFont="1" applyFill="1" applyBorder="1" applyAlignment="1">
      <alignment horizontal="center" vertical="center"/>
    </xf>
    <xf numFmtId="0" fontId="25" fillId="9" borderId="44" xfId="0" applyFont="1" applyFill="1" applyBorder="1" applyAlignment="1">
      <alignment horizontal="center" vertical="center"/>
    </xf>
    <xf numFmtId="0" fontId="25" fillId="9" borderId="43" xfId="2" applyNumberFormat="1" applyFont="1" applyFill="1" applyBorder="1" applyAlignment="1">
      <alignment horizontal="center" vertical="center"/>
    </xf>
    <xf numFmtId="0" fontId="14" fillId="9" borderId="43" xfId="0" applyFont="1" applyFill="1" applyBorder="1" applyAlignment="1">
      <alignment horizontal="center"/>
    </xf>
    <xf numFmtId="0" fontId="14" fillId="9" borderId="44" xfId="0" applyFont="1" applyFill="1" applyBorder="1" applyAlignment="1">
      <alignment horizontal="center"/>
    </xf>
    <xf numFmtId="0" fontId="25" fillId="9" borderId="38" xfId="0" applyFont="1" applyFill="1" applyBorder="1" applyAlignment="1">
      <alignment horizontal="center" vertical="center"/>
    </xf>
    <xf numFmtId="164" fontId="25" fillId="0" borderId="0" xfId="2" applyFont="1" applyFill="1" applyBorder="1" applyAlignment="1">
      <alignment horizontal="right" vertical="center"/>
    </xf>
    <xf numFmtId="2" fontId="37" fillId="9" borderId="21" xfId="0" applyNumberFormat="1" applyFont="1" applyFill="1" applyBorder="1" applyAlignment="1">
      <alignment horizontal="center"/>
    </xf>
    <xf numFmtId="2" fontId="25" fillId="0" borderId="0" xfId="2" applyNumberFormat="1" applyFont="1" applyFill="1" applyBorder="1" applyAlignment="1">
      <alignment horizontal="right" vertical="center"/>
    </xf>
    <xf numFmtId="0" fontId="25" fillId="0" borderId="9" xfId="0" applyFont="1" applyBorder="1" applyAlignment="1">
      <alignment horizontal="center"/>
    </xf>
    <xf numFmtId="165" fontId="25" fillId="8" borderId="0" xfId="0" applyNumberFormat="1" applyFont="1" applyFill="1" applyAlignment="1">
      <alignment horizontal="right"/>
    </xf>
    <xf numFmtId="9" fontId="25" fillId="8" borderId="0" xfId="4" applyFont="1" applyFill="1" applyBorder="1" applyAlignment="1">
      <alignment horizontal="right"/>
    </xf>
    <xf numFmtId="9" fontId="25" fillId="0" borderId="0" xfId="4" applyFont="1" applyFill="1" applyBorder="1" applyAlignment="1">
      <alignment horizontal="right"/>
    </xf>
    <xf numFmtId="168" fontId="25" fillId="0" borderId="7" xfId="0" applyNumberFormat="1" applyFont="1" applyBorder="1" applyAlignment="1">
      <alignment horizontal="right" vertical="center"/>
    </xf>
    <xf numFmtId="165" fontId="25" fillId="0" borderId="35" xfId="1" applyFont="1" applyFill="1" applyBorder="1" applyAlignment="1">
      <alignment horizontal="right" vertical="center"/>
    </xf>
    <xf numFmtId="167" fontId="25" fillId="0" borderId="5" xfId="1" applyNumberFormat="1" applyFont="1" applyFill="1" applyBorder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2" fontId="25" fillId="0" borderId="0" xfId="2" applyNumberFormat="1" applyFont="1" applyFill="1" applyBorder="1" applyAlignment="1">
      <alignment horizontal="center" vertical="center"/>
    </xf>
    <xf numFmtId="43" fontId="25" fillId="4" borderId="0" xfId="0" applyNumberFormat="1" applyFont="1" applyFill="1"/>
    <xf numFmtId="171" fontId="25" fillId="4" borderId="0" xfId="0" applyNumberFormat="1" applyFont="1" applyFill="1"/>
    <xf numFmtId="165" fontId="25" fillId="0" borderId="0" xfId="1" applyFont="1" applyFill="1" applyBorder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165" fontId="25" fillId="0" borderId="0" xfId="0" applyNumberFormat="1" applyFont="1" applyAlignment="1">
      <alignment horizontal="right" vertical="center"/>
    </xf>
    <xf numFmtId="0" fontId="0" fillId="3" borderId="5" xfId="0" applyFont="1" applyFill="1" applyBorder="1"/>
    <xf numFmtId="165" fontId="14" fillId="4" borderId="18" xfId="1" applyFont="1" applyFill="1" applyBorder="1" applyAlignment="1">
      <alignment horizontal="right" vertical="center"/>
    </xf>
    <xf numFmtId="0" fontId="25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0" fontId="25" fillId="0" borderId="0" xfId="0" applyFont="1" applyAlignment="1">
      <alignment horizontal="center" vertical="top" wrapText="1"/>
    </xf>
    <xf numFmtId="0" fontId="3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6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/>
    </xf>
    <xf numFmtId="165" fontId="27" fillId="0" borderId="10" xfId="0" applyNumberFormat="1" applyFont="1" applyBorder="1" applyAlignment="1">
      <alignment horizontal="center" vertical="center"/>
    </xf>
    <xf numFmtId="165" fontId="27" fillId="0" borderId="1" xfId="0" applyNumberFormat="1" applyFont="1" applyBorder="1" applyAlignment="1">
      <alignment horizontal="center" vertical="center"/>
    </xf>
    <xf numFmtId="165" fontId="27" fillId="0" borderId="11" xfId="0" applyNumberFormat="1" applyFont="1" applyBorder="1" applyAlignment="1">
      <alignment horizontal="center" vertical="center"/>
    </xf>
    <xf numFmtId="165" fontId="25" fillId="8" borderId="0" xfId="0" applyNumberFormat="1" applyFont="1" applyFill="1" applyAlignment="1">
      <alignment vertical="center" wrapText="1"/>
    </xf>
    <xf numFmtId="165" fontId="25" fillId="8" borderId="18" xfId="0" applyNumberFormat="1" applyFont="1" applyFill="1" applyBorder="1" applyAlignment="1">
      <alignment vertical="center" wrapText="1"/>
    </xf>
    <xf numFmtId="165" fontId="26" fillId="8" borderId="0" xfId="0" applyNumberFormat="1" applyFont="1" applyFill="1" applyAlignment="1">
      <alignment vertical="center"/>
    </xf>
    <xf numFmtId="165" fontId="25" fillId="8" borderId="0" xfId="0" applyNumberFormat="1" applyFont="1" applyFill="1" applyAlignment="1">
      <alignment vertical="center"/>
    </xf>
    <xf numFmtId="165" fontId="32" fillId="0" borderId="0" xfId="1" applyFont="1" applyFill="1" applyBorder="1" applyAlignment="1">
      <alignment horizontal="right" vertical="center"/>
    </xf>
    <xf numFmtId="165" fontId="32" fillId="4" borderId="5" xfId="1" applyFont="1" applyFill="1" applyBorder="1" applyAlignment="1">
      <alignment vertical="center"/>
    </xf>
    <xf numFmtId="167" fontId="25" fillId="0" borderId="0" xfId="0" applyNumberFormat="1" applyFont="1" applyAlignment="1">
      <alignment vertical="center" wrapText="1"/>
    </xf>
    <xf numFmtId="167" fontId="25" fillId="0" borderId="18" xfId="0" applyNumberFormat="1" applyFont="1" applyBorder="1" applyAlignment="1">
      <alignment vertical="center" wrapText="1"/>
    </xf>
    <xf numFmtId="167" fontId="25" fillId="0" borderId="0" xfId="0" applyNumberFormat="1" applyFont="1" applyAlignment="1">
      <alignment vertical="center"/>
    </xf>
    <xf numFmtId="167" fontId="25" fillId="0" borderId="0" xfId="1" applyNumberFormat="1" applyFont="1" applyFill="1" applyBorder="1" applyAlignment="1">
      <alignment vertical="center"/>
    </xf>
    <xf numFmtId="0" fontId="31" fillId="2" borderId="31" xfId="0" applyFont="1" applyFill="1" applyBorder="1" applyAlignment="1">
      <alignment horizontal="center" vertical="center"/>
    </xf>
    <xf numFmtId="0" fontId="34" fillId="2" borderId="15" xfId="0" applyFont="1" applyFill="1" applyBorder="1" applyAlignment="1">
      <alignment vertical="center"/>
    </xf>
    <xf numFmtId="0" fontId="25" fillId="2" borderId="15" xfId="0" applyFont="1" applyFill="1" applyBorder="1" applyAlignment="1">
      <alignment horizontal="left" vertical="center" wrapText="1"/>
    </xf>
    <xf numFmtId="167" fontId="25" fillId="2" borderId="15" xfId="0" applyNumberFormat="1" applyFont="1" applyFill="1" applyBorder="1" applyAlignment="1">
      <alignment horizontal="right" vertical="center"/>
    </xf>
    <xf numFmtId="0" fontId="25" fillId="2" borderId="16" xfId="0" applyFont="1" applyFill="1" applyBorder="1" applyAlignment="1">
      <alignment horizontal="center" vertical="center"/>
    </xf>
    <xf numFmtId="165" fontId="25" fillId="2" borderId="16" xfId="0" applyNumberFormat="1" applyFont="1" applyFill="1" applyBorder="1" applyAlignment="1">
      <alignment horizontal="right" vertical="center"/>
    </xf>
    <xf numFmtId="165" fontId="25" fillId="2" borderId="15" xfId="0" applyNumberFormat="1" applyFont="1" applyFill="1" applyBorder="1" applyAlignment="1">
      <alignment vertical="center"/>
    </xf>
    <xf numFmtId="165" fontId="25" fillId="2" borderId="15" xfId="1" applyFont="1" applyFill="1" applyBorder="1" applyAlignment="1">
      <alignment vertical="center"/>
    </xf>
    <xf numFmtId="165" fontId="25" fillId="4" borderId="16" xfId="1" applyFont="1" applyFill="1" applyBorder="1" applyAlignment="1">
      <alignment horizontal="right" vertical="center"/>
    </xf>
    <xf numFmtId="165" fontId="25" fillId="3" borderId="16" xfId="1" applyFont="1" applyFill="1" applyBorder="1" applyAlignment="1">
      <alignment horizontal="right" vertical="center"/>
    </xf>
    <xf numFmtId="165" fontId="25" fillId="3" borderId="48" xfId="1" applyFont="1" applyFill="1" applyBorder="1" applyAlignment="1">
      <alignment horizontal="right" vertical="center"/>
    </xf>
    <xf numFmtId="0" fontId="25" fillId="0" borderId="49" xfId="0" applyFont="1" applyBorder="1" applyAlignment="1">
      <alignment horizontal="center" vertical="center"/>
    </xf>
    <xf numFmtId="0" fontId="34" fillId="0" borderId="50" xfId="0" applyFont="1" applyBorder="1" applyAlignment="1">
      <alignment vertical="center"/>
    </xf>
    <xf numFmtId="0" fontId="25" fillId="0" borderId="50" xfId="0" applyFont="1" applyBorder="1" applyAlignment="1">
      <alignment horizontal="left" vertical="center" wrapText="1"/>
    </xf>
    <xf numFmtId="167" fontId="25" fillId="0" borderId="50" xfId="1" applyNumberFormat="1" applyFont="1" applyFill="1" applyBorder="1" applyAlignment="1">
      <alignment horizontal="right" vertical="center"/>
    </xf>
    <xf numFmtId="0" fontId="25" fillId="0" borderId="51" xfId="0" applyFont="1" applyBorder="1" applyAlignment="1">
      <alignment horizontal="center" vertical="center"/>
    </xf>
    <xf numFmtId="0" fontId="25" fillId="0" borderId="51" xfId="0" applyFont="1" applyBorder="1" applyAlignment="1">
      <alignment horizontal="right" vertical="center"/>
    </xf>
    <xf numFmtId="165" fontId="26" fillId="0" borderId="50" xfId="0" applyNumberFormat="1" applyFont="1" applyBorder="1" applyAlignment="1">
      <alignment horizontal="center" vertical="center"/>
    </xf>
    <xf numFmtId="165" fontId="26" fillId="0" borderId="50" xfId="1" applyFont="1" applyFill="1" applyBorder="1" applyAlignment="1">
      <alignment horizontal="center" vertical="center"/>
    </xf>
    <xf numFmtId="165" fontId="25" fillId="4" borderId="51" xfId="1" applyFont="1" applyFill="1" applyBorder="1" applyAlignment="1">
      <alignment horizontal="right" vertical="center"/>
    </xf>
    <xf numFmtId="165" fontId="25" fillId="3" borderId="51" xfId="1" applyFont="1" applyFill="1" applyBorder="1" applyAlignment="1">
      <alignment horizontal="right" vertical="center"/>
    </xf>
    <xf numFmtId="165" fontId="25" fillId="3" borderId="52" xfId="1" applyFont="1" applyFill="1" applyBorder="1" applyAlignment="1">
      <alignment horizontal="right" vertical="center"/>
    </xf>
    <xf numFmtId="0" fontId="29" fillId="0" borderId="20" xfId="0" applyFont="1" applyBorder="1" applyAlignment="1">
      <alignment horizontal="center" vertical="center"/>
    </xf>
    <xf numFmtId="165" fontId="25" fillId="3" borderId="53" xfId="1" applyFont="1" applyFill="1" applyBorder="1" applyAlignment="1">
      <alignment horizontal="right" vertical="center"/>
    </xf>
    <xf numFmtId="0" fontId="31" fillId="0" borderId="20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165" fontId="14" fillId="3" borderId="53" xfId="1" applyFont="1" applyFill="1" applyBorder="1" applyAlignment="1">
      <alignment horizontal="right" vertical="center"/>
    </xf>
    <xf numFmtId="0" fontId="50" fillId="0" borderId="0" xfId="0" applyFont="1"/>
    <xf numFmtId="167" fontId="31" fillId="0" borderId="0" xfId="0" applyNumberFormat="1" applyFont="1" applyAlignment="1">
      <alignment horizontal="right"/>
    </xf>
    <xf numFmtId="0" fontId="0" fillId="3" borderId="53" xfId="0" applyFill="1" applyBorder="1"/>
    <xf numFmtId="0" fontId="14" fillId="0" borderId="20" xfId="0" applyFont="1" applyBorder="1" applyAlignment="1">
      <alignment horizontal="right" vertical="center" wrapText="1"/>
    </xf>
    <xf numFmtId="165" fontId="25" fillId="0" borderId="16" xfId="1" applyFont="1" applyFill="1" applyBorder="1" applyAlignment="1">
      <alignment vertical="center"/>
    </xf>
    <xf numFmtId="0" fontId="13" fillId="0" borderId="54" xfId="0" applyFont="1" applyBorder="1" applyAlignment="1">
      <alignment horizontal="center" vertical="center"/>
    </xf>
    <xf numFmtId="165" fontId="14" fillId="0" borderId="55" xfId="1" applyFont="1" applyFill="1" applyBorder="1" applyAlignment="1">
      <alignment horizontal="right" vertical="center"/>
    </xf>
    <xf numFmtId="165" fontId="14" fillId="0" borderId="21" xfId="1" applyFont="1" applyFill="1" applyBorder="1" applyAlignment="1">
      <alignment horizontal="right" vertical="center"/>
    </xf>
    <xf numFmtId="0" fontId="32" fillId="0" borderId="20" xfId="0" applyFont="1" applyBorder="1" applyAlignment="1">
      <alignment horizontal="center" vertical="center"/>
    </xf>
    <xf numFmtId="165" fontId="25" fillId="0" borderId="21" xfId="1" applyFont="1" applyFill="1" applyBorder="1" applyAlignment="1">
      <alignment vertical="center"/>
    </xf>
    <xf numFmtId="0" fontId="0" fillId="0" borderId="42" xfId="0" applyBorder="1"/>
    <xf numFmtId="0" fontId="0" fillId="0" borderId="56" xfId="0" applyBorder="1"/>
    <xf numFmtId="0" fontId="25" fillId="0" borderId="43" xfId="0" applyFont="1" applyBorder="1" applyAlignment="1">
      <alignment horizontal="center" vertical="center"/>
    </xf>
    <xf numFmtId="165" fontId="25" fillId="3" borderId="57" xfId="1" applyFont="1" applyFill="1" applyBorder="1" applyAlignment="1">
      <alignment horizontal="right" vertical="center"/>
    </xf>
    <xf numFmtId="0" fontId="0" fillId="0" borderId="54" xfId="0" applyBorder="1"/>
    <xf numFmtId="0" fontId="0" fillId="3" borderId="55" xfId="0" applyFill="1" applyBorder="1"/>
    <xf numFmtId="165" fontId="25" fillId="3" borderId="21" xfId="1" applyFont="1" applyFill="1" applyBorder="1" applyAlignment="1">
      <alignment horizontal="right" vertical="center"/>
    </xf>
    <xf numFmtId="0" fontId="23" fillId="3" borderId="21" xfId="0" applyFont="1" applyFill="1" applyBorder="1"/>
    <xf numFmtId="0" fontId="0" fillId="3" borderId="21" xfId="0" applyFill="1" applyBorder="1"/>
    <xf numFmtId="0" fontId="0" fillId="0" borderId="20" xfId="0" applyBorder="1"/>
    <xf numFmtId="2" fontId="25" fillId="3" borderId="21" xfId="2" applyNumberFormat="1" applyFont="1" applyFill="1" applyBorder="1" applyAlignment="1">
      <alignment horizontal="right" vertical="center"/>
    </xf>
    <xf numFmtId="2" fontId="26" fillId="3" borderId="21" xfId="2" applyNumberFormat="1" applyFont="1" applyFill="1" applyBorder="1" applyAlignment="1">
      <alignment horizontal="right" vertical="center"/>
    </xf>
    <xf numFmtId="165" fontId="25" fillId="3" borderId="10" xfId="1" applyFont="1" applyFill="1" applyBorder="1" applyAlignment="1">
      <alignment horizontal="right" vertical="center"/>
    </xf>
    <xf numFmtId="165" fontId="25" fillId="3" borderId="8" xfId="1" applyFont="1" applyFill="1" applyBorder="1" applyAlignment="1">
      <alignment horizontal="right" vertical="center"/>
    </xf>
    <xf numFmtId="165" fontId="26" fillId="3" borderId="8" xfId="1" applyFont="1" applyFill="1" applyBorder="1" applyAlignment="1">
      <alignment horizontal="right" vertical="center"/>
    </xf>
    <xf numFmtId="0" fontId="26" fillId="0" borderId="0" xfId="0" applyFont="1" applyAlignment="1">
      <alignment horizontal="center" vertical="center"/>
    </xf>
    <xf numFmtId="164" fontId="25" fillId="0" borderId="0" xfId="2" applyFont="1" applyFill="1" applyBorder="1" applyAlignment="1">
      <alignment vertical="center"/>
    </xf>
    <xf numFmtId="44" fontId="26" fillId="0" borderId="0" xfId="0" applyNumberFormat="1" applyFont="1" applyAlignment="1">
      <alignment vertical="center"/>
    </xf>
    <xf numFmtId="164" fontId="26" fillId="0" borderId="0" xfId="2" applyFont="1" applyFill="1" applyBorder="1" applyAlignment="1">
      <alignment vertical="center"/>
    </xf>
    <xf numFmtId="164" fontId="26" fillId="0" borderId="0" xfId="2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64" fontId="16" fillId="0" borderId="0" xfId="2" applyFont="1" applyFill="1" applyBorder="1" applyAlignment="1">
      <alignment horizontal="center" vertical="center"/>
    </xf>
    <xf numFmtId="2" fontId="37" fillId="0" borderId="0" xfId="2" applyNumberFormat="1" applyFont="1" applyFill="1" applyBorder="1" applyAlignment="1">
      <alignment horizontal="center" vertical="center"/>
    </xf>
    <xf numFmtId="2" fontId="37" fillId="0" borderId="0" xfId="0" applyNumberFormat="1" applyFont="1" applyAlignment="1">
      <alignment horizontal="center"/>
    </xf>
    <xf numFmtId="173" fontId="14" fillId="0" borderId="0" xfId="0" applyNumberFormat="1" applyFont="1"/>
    <xf numFmtId="165" fontId="14" fillId="3" borderId="8" xfId="1" applyFont="1" applyFill="1" applyBorder="1" applyAlignment="1">
      <alignment horizontal="right" vertical="center"/>
    </xf>
    <xf numFmtId="165" fontId="25" fillId="8" borderId="5" xfId="0" applyNumberFormat="1" applyFont="1" applyFill="1" applyBorder="1" applyAlignment="1">
      <alignment horizontal="right" vertical="center"/>
    </xf>
    <xf numFmtId="168" fontId="25" fillId="8" borderId="0" xfId="0" applyNumberFormat="1" applyFont="1" applyFill="1" applyAlignment="1">
      <alignment horizontal="right" vertical="center" wrapText="1"/>
    </xf>
    <xf numFmtId="43" fontId="25" fillId="8" borderId="5" xfId="0" applyNumberFormat="1" applyFont="1" applyFill="1" applyBorder="1" applyAlignment="1">
      <alignment horizontal="center" vertical="center" wrapText="1"/>
    </xf>
    <xf numFmtId="168" fontId="25" fillId="8" borderId="5" xfId="1" applyNumberFormat="1" applyFont="1" applyFill="1" applyBorder="1" applyAlignment="1">
      <alignment horizontal="right" vertical="center"/>
    </xf>
    <xf numFmtId="0" fontId="25" fillId="8" borderId="28" xfId="0" applyFont="1" applyFill="1" applyBorder="1" applyAlignment="1">
      <alignment horizontal="right"/>
    </xf>
    <xf numFmtId="43" fontId="25" fillId="8" borderId="5" xfId="0" applyNumberFormat="1" applyFont="1" applyFill="1" applyBorder="1" applyAlignment="1">
      <alignment horizontal="right"/>
    </xf>
    <xf numFmtId="168" fontId="25" fillId="8" borderId="5" xfId="0" applyNumberFormat="1" applyFont="1" applyFill="1" applyBorder="1" applyAlignment="1">
      <alignment horizontal="right" vertical="center"/>
    </xf>
    <xf numFmtId="165" fontId="25" fillId="8" borderId="18" xfId="1" applyFont="1" applyFill="1" applyBorder="1" applyAlignment="1">
      <alignment horizontal="right" vertical="center"/>
    </xf>
    <xf numFmtId="165" fontId="25" fillId="8" borderId="0" xfId="0" applyNumberFormat="1" applyFont="1" applyFill="1" applyAlignment="1">
      <alignment horizontal="right" vertical="center"/>
    </xf>
    <xf numFmtId="174" fontId="25" fillId="8" borderId="0" xfId="0" applyNumberFormat="1" applyFont="1" applyFill="1" applyAlignment="1">
      <alignment horizontal="right" vertical="center"/>
    </xf>
    <xf numFmtId="167" fontId="25" fillId="8" borderId="6" xfId="0" applyNumberFormat="1" applyFont="1" applyFill="1" applyBorder="1" applyAlignment="1">
      <alignment horizontal="right" vertical="center"/>
    </xf>
    <xf numFmtId="167" fontId="25" fillId="8" borderId="0" xfId="0" applyNumberFormat="1" applyFont="1" applyFill="1" applyAlignment="1">
      <alignment vertical="center" wrapText="1"/>
    </xf>
    <xf numFmtId="167" fontId="25" fillId="8" borderId="0" xfId="0" applyNumberFormat="1" applyFont="1" applyFill="1" applyAlignment="1">
      <alignment vertical="center"/>
    </xf>
    <xf numFmtId="165" fontId="26" fillId="8" borderId="0" xfId="1" applyFont="1" applyFill="1" applyBorder="1" applyAlignment="1">
      <alignment vertical="center"/>
    </xf>
    <xf numFmtId="165" fontId="14" fillId="8" borderId="0" xfId="1" applyFont="1" applyFill="1" applyBorder="1" applyAlignment="1">
      <alignment horizontal="left" vertical="center"/>
    </xf>
    <xf numFmtId="165" fontId="26" fillId="8" borderId="18" xfId="1" applyFont="1" applyFill="1" applyBorder="1" applyAlignment="1">
      <alignment horizontal="center" vertical="center"/>
    </xf>
    <xf numFmtId="168" fontId="26" fillId="8" borderId="5" xfId="1" applyNumberFormat="1" applyFont="1" applyFill="1" applyBorder="1" applyAlignment="1">
      <alignment horizontal="center" vertical="center"/>
    </xf>
    <xf numFmtId="167" fontId="25" fillId="0" borderId="5" xfId="0" applyNumberFormat="1" applyFont="1" applyBorder="1" applyAlignment="1">
      <alignment vertical="center"/>
    </xf>
    <xf numFmtId="167" fontId="26" fillId="0" borderId="5" xfId="1" applyNumberFormat="1" applyFont="1" applyFill="1" applyBorder="1" applyAlignment="1">
      <alignment vertical="center"/>
    </xf>
    <xf numFmtId="165" fontId="25" fillId="8" borderId="0" xfId="1" applyFont="1" applyFill="1" applyBorder="1" applyAlignment="1">
      <alignment horizontal="right" vertical="center"/>
    </xf>
    <xf numFmtId="2" fontId="25" fillId="3" borderId="5" xfId="0" applyNumberFormat="1" applyFont="1" applyFill="1" applyBorder="1"/>
    <xf numFmtId="167" fontId="25" fillId="8" borderId="39" xfId="1" applyNumberFormat="1" applyFont="1" applyFill="1" applyBorder="1" applyAlignment="1">
      <alignment horizontal="right" vertical="center" wrapText="1"/>
    </xf>
    <xf numFmtId="0" fontId="25" fillId="0" borderId="0" xfId="0" applyFont="1" applyAlignment="1">
      <alignment vertical="top"/>
    </xf>
    <xf numFmtId="173" fontId="14" fillId="9" borderId="58" xfId="0" applyNumberFormat="1" applyFont="1" applyFill="1" applyBorder="1"/>
    <xf numFmtId="167" fontId="25" fillId="8" borderId="34" xfId="0" applyNumberFormat="1" applyFont="1" applyFill="1" applyBorder="1" applyAlignment="1">
      <alignment horizontal="right" vertical="center"/>
    </xf>
    <xf numFmtId="165" fontId="25" fillId="0" borderId="26" xfId="0" applyNumberFormat="1" applyFont="1" applyBorder="1" applyAlignment="1">
      <alignment horizontal="right" vertical="center"/>
    </xf>
    <xf numFmtId="168" fontId="14" fillId="8" borderId="24" xfId="1" applyNumberFormat="1" applyFont="1" applyFill="1" applyBorder="1" applyAlignment="1">
      <alignment horizontal="center" vertical="center"/>
    </xf>
    <xf numFmtId="165" fontId="14" fillId="5" borderId="25" xfId="1" applyFont="1" applyFill="1" applyBorder="1" applyAlignment="1">
      <alignment horizontal="center" vertical="center"/>
    </xf>
    <xf numFmtId="0" fontId="31" fillId="0" borderId="59" xfId="0" applyFont="1" applyBorder="1" applyAlignment="1">
      <alignment horizontal="center" vertical="center"/>
    </xf>
    <xf numFmtId="0" fontId="25" fillId="0" borderId="59" xfId="0" applyFont="1" applyBorder="1" applyAlignment="1">
      <alignment horizontal="center" vertical="center"/>
    </xf>
    <xf numFmtId="0" fontId="25" fillId="0" borderId="53" xfId="0" applyFont="1" applyBorder="1" applyAlignment="1">
      <alignment horizontal="center" vertical="center"/>
    </xf>
    <xf numFmtId="0" fontId="0" fillId="4" borderId="18" xfId="0" applyFill="1" applyBorder="1"/>
    <xf numFmtId="175" fontId="25" fillId="0" borderId="28" xfId="0" applyNumberFormat="1" applyFont="1" applyBorder="1" applyAlignment="1">
      <alignment horizontal="right"/>
    </xf>
    <xf numFmtId="175" fontId="25" fillId="4" borderId="8" xfId="0" applyNumberFormat="1" applyFont="1" applyFill="1" applyBorder="1"/>
    <xf numFmtId="0" fontId="38" fillId="4" borderId="5" xfId="0" applyFont="1" applyFill="1" applyBorder="1"/>
    <xf numFmtId="175" fontId="25" fillId="4" borderId="5" xfId="0" applyNumberFormat="1" applyFont="1" applyFill="1" applyBorder="1"/>
    <xf numFmtId="165" fontId="26" fillId="4" borderId="18" xfId="1" applyFont="1" applyFill="1" applyBorder="1" applyAlignment="1">
      <alignment vertical="center"/>
    </xf>
    <xf numFmtId="2" fontId="38" fillId="4" borderId="0" xfId="0" applyNumberFormat="1" applyFont="1" applyFill="1"/>
    <xf numFmtId="0" fontId="0" fillId="0" borderId="18" xfId="0" applyBorder="1"/>
    <xf numFmtId="0" fontId="38" fillId="0" borderId="18" xfId="0" applyFont="1" applyBorder="1"/>
    <xf numFmtId="0" fontId="38" fillId="3" borderId="18" xfId="0" applyFont="1" applyFill="1" applyBorder="1"/>
    <xf numFmtId="175" fontId="25" fillId="3" borderId="18" xfId="0" applyNumberFormat="1" applyFont="1" applyFill="1" applyBorder="1"/>
    <xf numFmtId="9" fontId="26" fillId="8" borderId="0" xfId="4" applyFont="1" applyFill="1" applyBorder="1" applyAlignment="1">
      <alignment vertical="center"/>
    </xf>
    <xf numFmtId="0" fontId="25" fillId="0" borderId="24" xfId="0" applyFont="1" applyBorder="1" applyAlignment="1">
      <alignment vertical="center"/>
    </xf>
    <xf numFmtId="0" fontId="25" fillId="0" borderId="34" xfId="0" applyFont="1" applyBorder="1" applyAlignment="1">
      <alignment vertical="center"/>
    </xf>
    <xf numFmtId="2" fontId="25" fillId="4" borderId="61" xfId="0" applyNumberFormat="1" applyFont="1" applyFill="1" applyBorder="1"/>
    <xf numFmtId="43" fontId="25" fillId="4" borderId="34" xfId="0" applyNumberFormat="1" applyFont="1" applyFill="1" applyBorder="1"/>
    <xf numFmtId="2" fontId="25" fillId="3" borderId="40" xfId="0" applyNumberFormat="1" applyFont="1" applyFill="1" applyBorder="1"/>
    <xf numFmtId="165" fontId="25" fillId="3" borderId="59" xfId="1" applyFont="1" applyFill="1" applyBorder="1" applyAlignment="1">
      <alignment horizontal="right" vertical="center"/>
    </xf>
    <xf numFmtId="0" fontId="26" fillId="0" borderId="20" xfId="0" applyFont="1" applyBorder="1" applyAlignment="1">
      <alignment vertical="center"/>
    </xf>
    <xf numFmtId="171" fontId="25" fillId="3" borderId="21" xfId="0" applyNumberFormat="1" applyFont="1" applyFill="1" applyBorder="1"/>
    <xf numFmtId="0" fontId="26" fillId="0" borderId="22" xfId="0" applyFont="1" applyBorder="1" applyAlignment="1">
      <alignment vertical="center"/>
    </xf>
    <xf numFmtId="165" fontId="25" fillId="5" borderId="33" xfId="1" applyFont="1" applyFill="1" applyBorder="1" applyAlignment="1">
      <alignment horizontal="center" vertical="center"/>
    </xf>
    <xf numFmtId="165" fontId="25" fillId="0" borderId="33" xfId="1" applyFont="1" applyFill="1" applyBorder="1" applyAlignment="1">
      <alignment horizontal="center" vertical="center"/>
    </xf>
    <xf numFmtId="2" fontId="25" fillId="4" borderId="62" xfId="0" applyNumberFormat="1" applyFont="1" applyFill="1" applyBorder="1"/>
    <xf numFmtId="43" fontId="25" fillId="4" borderId="33" xfId="0" applyNumberFormat="1" applyFont="1" applyFill="1" applyBorder="1"/>
    <xf numFmtId="2" fontId="25" fillId="3" borderId="63" xfId="0" applyNumberFormat="1" applyFont="1" applyFill="1" applyBorder="1"/>
    <xf numFmtId="165" fontId="25" fillId="3" borderId="60" xfId="1" applyFont="1" applyFill="1" applyBorder="1" applyAlignment="1">
      <alignment horizontal="right" vertical="center"/>
    </xf>
    <xf numFmtId="0" fontId="25" fillId="3" borderId="18" xfId="0" applyFont="1" applyFill="1" applyBorder="1" applyAlignment="1">
      <alignment vertical="center"/>
    </xf>
    <xf numFmtId="0" fontId="14" fillId="9" borderId="15" xfId="0" applyFont="1" applyFill="1" applyBorder="1" applyAlignment="1">
      <alignment horizontal="center"/>
    </xf>
    <xf numFmtId="0" fontId="14" fillId="9" borderId="0" xfId="0" applyFont="1" applyFill="1" applyAlignment="1">
      <alignment horizontal="center"/>
    </xf>
    <xf numFmtId="0" fontId="14" fillId="9" borderId="1" xfId="0" applyFont="1" applyFill="1" applyBorder="1" applyAlignment="1">
      <alignment horizontal="center"/>
    </xf>
    <xf numFmtId="0" fontId="14" fillId="9" borderId="39" xfId="0" applyFont="1" applyFill="1" applyBorder="1" applyAlignment="1">
      <alignment horizontal="center"/>
    </xf>
    <xf numFmtId="0" fontId="14" fillId="9" borderId="38" xfId="0" applyFont="1" applyFill="1" applyBorder="1"/>
    <xf numFmtId="175" fontId="25" fillId="0" borderId="5" xfId="0" applyNumberFormat="1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165" fontId="14" fillId="5" borderId="0" xfId="1" applyFont="1" applyFill="1" applyBorder="1" applyAlignment="1">
      <alignment horizontal="center" vertical="center"/>
    </xf>
    <xf numFmtId="168" fontId="25" fillId="8" borderId="25" xfId="1" applyNumberFormat="1" applyFont="1" applyFill="1" applyBorder="1" applyAlignment="1">
      <alignment horizontal="center" vertical="center"/>
    </xf>
    <xf numFmtId="165" fontId="14" fillId="0" borderId="24" xfId="0" applyNumberFormat="1" applyFont="1" applyBorder="1" applyAlignment="1">
      <alignment horizontal="center" vertical="center"/>
    </xf>
    <xf numFmtId="165" fontId="14" fillId="0" borderId="20" xfId="0" applyNumberFormat="1" applyFont="1" applyBorder="1" applyAlignment="1">
      <alignment horizontal="center" vertical="center"/>
    </xf>
    <xf numFmtId="165" fontId="14" fillId="0" borderId="22" xfId="0" applyNumberFormat="1" applyFont="1" applyBorder="1" applyAlignment="1">
      <alignment horizontal="center" vertical="center"/>
    </xf>
    <xf numFmtId="0" fontId="0" fillId="0" borderId="15" xfId="0" applyBorder="1"/>
    <xf numFmtId="0" fontId="25" fillId="0" borderId="16" xfId="0" applyFont="1" applyBorder="1" applyAlignment="1">
      <alignment horizontal="center" vertical="center"/>
    </xf>
    <xf numFmtId="165" fontId="25" fillId="0" borderId="16" xfId="0" applyNumberFormat="1" applyFont="1" applyBorder="1" applyAlignment="1">
      <alignment horizontal="right" vertical="center"/>
    </xf>
    <xf numFmtId="9" fontId="25" fillId="8" borderId="15" xfId="4" applyFont="1" applyFill="1" applyBorder="1" applyAlignment="1">
      <alignment vertical="center"/>
    </xf>
    <xf numFmtId="165" fontId="25" fillId="0" borderId="15" xfId="1" applyFont="1" applyFill="1" applyBorder="1" applyAlignment="1">
      <alignment vertical="center"/>
    </xf>
    <xf numFmtId="165" fontId="25" fillId="4" borderId="14" xfId="1" applyFont="1" applyFill="1" applyBorder="1" applyAlignment="1">
      <alignment vertical="center"/>
    </xf>
    <xf numFmtId="165" fontId="25" fillId="3" borderId="16" xfId="1" applyFont="1" applyFill="1" applyBorder="1" applyAlignment="1">
      <alignment vertical="center"/>
    </xf>
    <xf numFmtId="165" fontId="25" fillId="3" borderId="41" xfId="1" applyFont="1" applyFill="1" applyBorder="1" applyAlignment="1">
      <alignment horizontal="right" vertical="center"/>
    </xf>
    <xf numFmtId="0" fontId="31" fillId="0" borderId="15" xfId="0" applyFont="1" applyBorder="1" applyAlignment="1">
      <alignment vertical="center" wrapText="1"/>
    </xf>
    <xf numFmtId="43" fontId="25" fillId="0" borderId="18" xfId="0" applyNumberFormat="1" applyFont="1" applyBorder="1" applyAlignment="1">
      <alignment horizontal="center"/>
    </xf>
    <xf numFmtId="165" fontId="14" fillId="5" borderId="18" xfId="1" applyFont="1" applyFill="1" applyBorder="1" applyAlignment="1">
      <alignment horizontal="center" vertical="center"/>
    </xf>
    <xf numFmtId="0" fontId="25" fillId="0" borderId="18" xfId="0" applyFont="1" applyBorder="1" applyAlignment="1">
      <alignment horizontal="center"/>
    </xf>
    <xf numFmtId="167" fontId="25" fillId="0" borderId="18" xfId="0" applyNumberFormat="1" applyFont="1" applyBorder="1" applyAlignment="1">
      <alignment horizontal="right"/>
    </xf>
    <xf numFmtId="43" fontId="25" fillId="0" borderId="0" xfId="0" applyNumberFormat="1" applyFont="1"/>
    <xf numFmtId="165" fontId="25" fillId="4" borderId="0" xfId="1" applyFont="1" applyFill="1" applyBorder="1" applyAlignment="1">
      <alignment vertical="center"/>
    </xf>
    <xf numFmtId="43" fontId="25" fillId="0" borderId="8" xfId="0" applyNumberFormat="1" applyFont="1" applyBorder="1" applyAlignment="1">
      <alignment horizontal="right"/>
    </xf>
    <xf numFmtId="2" fontId="26" fillId="8" borderId="0" xfId="0" applyNumberFormat="1" applyFont="1" applyFill="1" applyAlignment="1">
      <alignment vertical="center"/>
    </xf>
    <xf numFmtId="165" fontId="25" fillId="0" borderId="8" xfId="1" applyFont="1" applyFill="1" applyBorder="1" applyAlignment="1">
      <alignment horizontal="right" vertical="center"/>
    </xf>
    <xf numFmtId="0" fontId="25" fillId="5" borderId="0" xfId="0" applyFont="1" applyFill="1" applyAlignment="1">
      <alignment horizontal="center" vertical="center"/>
    </xf>
    <xf numFmtId="165" fontId="25" fillId="5" borderId="8" xfId="1" applyFont="1" applyFill="1" applyBorder="1" applyAlignment="1">
      <alignment horizontal="center" vertical="center"/>
    </xf>
    <xf numFmtId="43" fontId="25" fillId="4" borderId="5" xfId="0" applyNumberFormat="1" applyFont="1" applyFill="1" applyBorder="1"/>
    <xf numFmtId="0" fontId="25" fillId="5" borderId="34" xfId="0" applyFont="1" applyFill="1" applyBorder="1" applyAlignment="1">
      <alignment horizontal="center" vertical="center"/>
    </xf>
    <xf numFmtId="0" fontId="25" fillId="5" borderId="33" xfId="0" applyFont="1" applyFill="1" applyBorder="1" applyAlignment="1">
      <alignment horizontal="center" vertical="center"/>
    </xf>
    <xf numFmtId="0" fontId="14" fillId="0" borderId="37" xfId="0" applyFont="1" applyBorder="1" applyAlignment="1">
      <alignment horizontal="center" vertical="center" wrapText="1"/>
    </xf>
    <xf numFmtId="165" fontId="14" fillId="5" borderId="24" xfId="1" applyFont="1" applyFill="1" applyBorder="1" applyAlignment="1">
      <alignment horizontal="center" vertical="center"/>
    </xf>
    <xf numFmtId="165" fontId="14" fillId="0" borderId="25" xfId="1" applyFont="1" applyFill="1" applyBorder="1" applyAlignment="1">
      <alignment vertical="center"/>
    </xf>
    <xf numFmtId="165" fontId="14" fillId="5" borderId="20" xfId="1" applyFont="1" applyFill="1" applyBorder="1" applyAlignment="1">
      <alignment horizontal="center" vertical="center"/>
    </xf>
    <xf numFmtId="165" fontId="14" fillId="5" borderId="22" xfId="1" applyFont="1" applyFill="1" applyBorder="1" applyAlignment="1">
      <alignment horizontal="center" vertical="center"/>
    </xf>
    <xf numFmtId="168" fontId="2" fillId="0" borderId="0" xfId="0" applyNumberFormat="1" applyFont="1" applyAlignment="1">
      <alignment horizontal="left" vertical="center"/>
    </xf>
    <xf numFmtId="165" fontId="0" fillId="0" borderId="0" xfId="0" applyNumberFormat="1"/>
    <xf numFmtId="168" fontId="2" fillId="0" borderId="0" xfId="1" applyNumberFormat="1" applyFont="1" applyFill="1" applyBorder="1" applyAlignment="1">
      <alignment horizontal="center" vertical="center"/>
    </xf>
    <xf numFmtId="164" fontId="2" fillId="0" borderId="0" xfId="2" applyFont="1" applyFill="1" applyBorder="1" applyAlignment="1">
      <alignment horizontal="center" vertical="center"/>
    </xf>
    <xf numFmtId="168" fontId="2" fillId="0" borderId="5" xfId="1" applyNumberFormat="1" applyFont="1" applyFill="1" applyBorder="1" applyAlignment="1">
      <alignment horizontal="right" vertical="center"/>
    </xf>
    <xf numFmtId="165" fontId="25" fillId="3" borderId="6" xfId="1" applyFont="1" applyFill="1" applyBorder="1" applyAlignment="1">
      <alignment vertical="center"/>
    </xf>
    <xf numFmtId="2" fontId="25" fillId="3" borderId="6" xfId="2" applyNumberFormat="1" applyFont="1" applyFill="1" applyBorder="1"/>
    <xf numFmtId="2" fontId="25" fillId="3" borderId="6" xfId="2" applyNumberFormat="1" applyFont="1" applyFill="1" applyBorder="1" applyAlignment="1">
      <alignment vertical="center"/>
    </xf>
    <xf numFmtId="167" fontId="25" fillId="5" borderId="0" xfId="1" applyNumberFormat="1" applyFont="1" applyFill="1" applyBorder="1" applyAlignment="1">
      <alignment horizontal="right" vertical="center"/>
    </xf>
    <xf numFmtId="43" fontId="25" fillId="0" borderId="5" xfId="0" applyNumberFormat="1" applyFont="1" applyBorder="1"/>
    <xf numFmtId="168" fontId="2" fillId="0" borderId="6" xfId="1" applyNumberFormat="1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/>
    </xf>
    <xf numFmtId="168" fontId="2" fillId="0" borderId="33" xfId="1" applyNumberFormat="1" applyFont="1" applyFill="1" applyBorder="1" applyAlignment="1">
      <alignment vertical="center"/>
    </xf>
    <xf numFmtId="168" fontId="2" fillId="0" borderId="37" xfId="1" applyNumberFormat="1" applyFont="1" applyBorder="1" applyAlignment="1">
      <alignment horizontal="left" vertical="center" indent="1"/>
    </xf>
    <xf numFmtId="0" fontId="51" fillId="0" borderId="6" xfId="0" applyFont="1" applyBorder="1" applyAlignment="1">
      <alignment vertical="center"/>
    </xf>
    <xf numFmtId="164" fontId="51" fillId="0" borderId="6" xfId="2" applyFont="1" applyFill="1" applyBorder="1" applyAlignment="1">
      <alignment horizontal="left" vertical="center"/>
    </xf>
    <xf numFmtId="0" fontId="52" fillId="0" borderId="32" xfId="0" applyFont="1" applyBorder="1" applyAlignment="1">
      <alignment horizontal="left" vertical="center"/>
    </xf>
    <xf numFmtId="165" fontId="52" fillId="0" borderId="2" xfId="1" applyFont="1" applyFill="1" applyBorder="1" applyAlignment="1">
      <alignment horizontal="left" vertical="center"/>
    </xf>
    <xf numFmtId="165" fontId="52" fillId="0" borderId="2" xfId="1" applyFont="1" applyFill="1" applyBorder="1" applyAlignment="1">
      <alignment horizontal="center" vertical="center"/>
    </xf>
    <xf numFmtId="168" fontId="51" fillId="0" borderId="2" xfId="1" applyNumberFormat="1" applyFont="1" applyFill="1" applyBorder="1" applyAlignment="1">
      <alignment horizontal="center" vertical="center"/>
    </xf>
    <xf numFmtId="168" fontId="52" fillId="0" borderId="2" xfId="1" applyNumberFormat="1" applyFont="1" applyFill="1" applyBorder="1" applyAlignment="1">
      <alignment horizontal="center" vertical="center"/>
    </xf>
    <xf numFmtId="164" fontId="52" fillId="0" borderId="2" xfId="2" applyFont="1" applyFill="1" applyBorder="1" applyAlignment="1">
      <alignment horizontal="center" vertical="center"/>
    </xf>
    <xf numFmtId="43" fontId="52" fillId="0" borderId="13" xfId="1" applyNumberFormat="1" applyFont="1" applyFill="1" applyBorder="1" applyAlignment="1">
      <alignment horizontal="right" vertical="center"/>
    </xf>
    <xf numFmtId="164" fontId="2" fillId="0" borderId="6" xfId="2" applyFont="1" applyBorder="1" applyAlignment="1">
      <alignment vertical="center"/>
    </xf>
    <xf numFmtId="164" fontId="8" fillId="0" borderId="6" xfId="2" applyFont="1" applyFill="1" applyBorder="1" applyAlignment="1">
      <alignment horizontal="right" vertical="center"/>
    </xf>
    <xf numFmtId="0" fontId="2" fillId="10" borderId="6" xfId="0" applyFont="1" applyFill="1" applyBorder="1" applyAlignment="1">
      <alignment vertical="center"/>
    </xf>
    <xf numFmtId="10" fontId="53" fillId="10" borderId="6" xfId="4" applyNumberFormat="1" applyFont="1" applyFill="1" applyBorder="1" applyAlignment="1">
      <alignment horizontal="right" vertical="center"/>
    </xf>
    <xf numFmtId="164" fontId="8" fillId="10" borderId="6" xfId="2" applyFont="1" applyFill="1" applyBorder="1" applyAlignment="1">
      <alignment horizontal="right" vertical="center"/>
    </xf>
    <xf numFmtId="164" fontId="2" fillId="10" borderId="6" xfId="2" applyFont="1" applyFill="1" applyBorder="1" applyAlignment="1">
      <alignment vertical="center"/>
    </xf>
    <xf numFmtId="170" fontId="25" fillId="8" borderId="5" xfId="0" applyNumberFormat="1" applyFont="1" applyFill="1" applyBorder="1" applyAlignment="1">
      <alignment horizontal="right"/>
    </xf>
    <xf numFmtId="2" fontId="26" fillId="0" borderId="0" xfId="0" applyNumberFormat="1" applyFont="1" applyAlignment="1">
      <alignment horizontal="right" vertical="center" wrapText="1"/>
    </xf>
    <xf numFmtId="165" fontId="25" fillId="0" borderId="8" xfId="0" applyNumberFormat="1" applyFont="1" applyBorder="1" applyAlignment="1">
      <alignment horizontal="right" vertical="center"/>
    </xf>
    <xf numFmtId="165" fontId="26" fillId="0" borderId="8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vertical="center"/>
    </xf>
    <xf numFmtId="165" fontId="26" fillId="0" borderId="8" xfId="0" applyNumberFormat="1" applyFont="1" applyBorder="1" applyAlignment="1">
      <alignment vertical="center"/>
    </xf>
    <xf numFmtId="165" fontId="26" fillId="3" borderId="18" xfId="1" applyFont="1" applyFill="1" applyBorder="1" applyAlignment="1">
      <alignment vertical="center"/>
    </xf>
    <xf numFmtId="10" fontId="8" fillId="0" borderId="0" xfId="4" applyNumberFormat="1" applyFont="1" applyFill="1" applyBorder="1" applyAlignment="1">
      <alignment horizontal="left" vertical="center"/>
    </xf>
    <xf numFmtId="173" fontId="14" fillId="9" borderId="64" xfId="0" applyNumberFormat="1" applyFont="1" applyFill="1" applyBorder="1" applyAlignment="1">
      <alignment horizontal="center" vertical="center"/>
    </xf>
    <xf numFmtId="173" fontId="14" fillId="9" borderId="46" xfId="0" applyNumberFormat="1" applyFont="1" applyFill="1" applyBorder="1" applyAlignment="1">
      <alignment horizontal="center" vertical="center"/>
    </xf>
    <xf numFmtId="173" fontId="14" fillId="9" borderId="47" xfId="0" applyNumberFormat="1" applyFont="1" applyFill="1" applyBorder="1" applyAlignment="1">
      <alignment horizontal="center" vertical="center"/>
    </xf>
    <xf numFmtId="0" fontId="14" fillId="6" borderId="0" xfId="0" applyFont="1" applyFill="1" applyAlignment="1">
      <alignment horizontal="center" vertical="center"/>
    </xf>
    <xf numFmtId="166" fontId="14" fillId="6" borderId="0" xfId="2" applyNumberFormat="1" applyFont="1" applyFill="1" applyAlignment="1">
      <alignment horizontal="center" vertical="center"/>
    </xf>
    <xf numFmtId="0" fontId="38" fillId="6" borderId="36" xfId="0" applyFont="1" applyFill="1" applyBorder="1" applyAlignment="1">
      <alignment horizontal="center" vertical="center"/>
    </xf>
    <xf numFmtId="2" fontId="25" fillId="6" borderId="46" xfId="2" applyNumberFormat="1" applyFont="1" applyFill="1" applyBorder="1" applyAlignment="1">
      <alignment horizontal="center" vertical="center"/>
    </xf>
    <xf numFmtId="2" fontId="14" fillId="6" borderId="46" xfId="0" applyNumberFormat="1" applyFont="1" applyFill="1" applyBorder="1" applyAlignment="1">
      <alignment horizontal="center"/>
    </xf>
    <xf numFmtId="2" fontId="54" fillId="9" borderId="58" xfId="2" applyNumberFormat="1" applyFont="1" applyFill="1" applyBorder="1" applyAlignment="1">
      <alignment horizontal="center" vertical="center"/>
    </xf>
    <xf numFmtId="2" fontId="55" fillId="6" borderId="46" xfId="2" applyNumberFormat="1" applyFont="1" applyFill="1" applyBorder="1" applyAlignment="1">
      <alignment horizontal="center" vertical="center"/>
    </xf>
    <xf numFmtId="2" fontId="54" fillId="9" borderId="45" xfId="0" applyNumberFormat="1" applyFont="1" applyFill="1" applyBorder="1" applyAlignment="1">
      <alignment horizontal="center"/>
    </xf>
    <xf numFmtId="2" fontId="54" fillId="6" borderId="46" xfId="0" applyNumberFormat="1" applyFont="1" applyFill="1" applyBorder="1" applyAlignment="1">
      <alignment horizontal="center"/>
    </xf>
    <xf numFmtId="2" fontId="54" fillId="6" borderId="47" xfId="0" applyNumberFormat="1" applyFont="1" applyFill="1" applyBorder="1" applyAlignment="1">
      <alignment horizontal="center"/>
    </xf>
    <xf numFmtId="0" fontId="25" fillId="6" borderId="0" xfId="0" applyFont="1" applyFill="1" applyAlignment="1">
      <alignment horizontal="center"/>
    </xf>
    <xf numFmtId="2" fontId="25" fillId="6" borderId="0" xfId="0" applyNumberFormat="1" applyFont="1" applyFill="1" applyAlignment="1">
      <alignment horizontal="center"/>
    </xf>
    <xf numFmtId="0" fontId="25" fillId="9" borderId="0" xfId="0" applyFont="1" applyFill="1" applyAlignment="1">
      <alignment horizontal="center" vertical="center"/>
    </xf>
    <xf numFmtId="0" fontId="14" fillId="9" borderId="0" xfId="0" applyFont="1" applyFill="1" applyAlignment="1">
      <alignment horizontal="center" vertical="center"/>
    </xf>
    <xf numFmtId="164" fontId="25" fillId="9" borderId="0" xfId="2" applyFont="1" applyFill="1" applyBorder="1" applyAlignment="1">
      <alignment horizontal="center" vertical="center"/>
    </xf>
    <xf numFmtId="0" fontId="14" fillId="9" borderId="0" xfId="0" applyFont="1" applyFill="1" applyAlignment="1">
      <alignment horizontal="center" vertical="center" wrapText="1"/>
    </xf>
    <xf numFmtId="0" fontId="14" fillId="9" borderId="0" xfId="0" applyFont="1" applyFill="1" applyAlignment="1">
      <alignment horizontal="center" wrapText="1"/>
    </xf>
    <xf numFmtId="2" fontId="14" fillId="9" borderId="0" xfId="0" applyNumberFormat="1" applyFont="1" applyFill="1" applyAlignment="1">
      <alignment horizontal="center"/>
    </xf>
    <xf numFmtId="164" fontId="14" fillId="9" borderId="0" xfId="2" applyFont="1" applyFill="1"/>
    <xf numFmtId="2" fontId="25" fillId="6" borderId="0" xfId="2" applyNumberFormat="1" applyFont="1" applyFill="1" applyBorder="1" applyAlignment="1">
      <alignment horizontal="right" vertical="center"/>
    </xf>
    <xf numFmtId="2" fontId="14" fillId="6" borderId="0" xfId="0" applyNumberFormat="1" applyFont="1" applyFill="1"/>
    <xf numFmtId="2" fontId="38" fillId="6" borderId="0" xfId="2" applyNumberFormat="1" applyFont="1" applyFill="1" applyBorder="1" applyAlignment="1">
      <alignment horizontal="right" vertical="center"/>
    </xf>
    <xf numFmtId="2" fontId="37" fillId="6" borderId="0" xfId="0" applyNumberFormat="1" applyFont="1" applyFill="1"/>
    <xf numFmtId="2" fontId="14" fillId="0" borderId="0" xfId="0" applyNumberFormat="1" applyFont="1"/>
    <xf numFmtId="0" fontId="25" fillId="6" borderId="31" xfId="0" applyFont="1" applyFill="1" applyBorder="1" applyAlignment="1">
      <alignment horizontal="center" vertical="center"/>
    </xf>
    <xf numFmtId="0" fontId="14" fillId="6" borderId="31" xfId="0" applyFont="1" applyFill="1" applyBorder="1" applyAlignment="1">
      <alignment horizontal="center" vertical="center"/>
    </xf>
    <xf numFmtId="0" fontId="14" fillId="6" borderId="24" xfId="0" applyFont="1" applyFill="1" applyBorder="1" applyAlignment="1">
      <alignment horizontal="center" vertical="center"/>
    </xf>
    <xf numFmtId="164" fontId="14" fillId="6" borderId="24" xfId="2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4" fontId="14" fillId="6" borderId="20" xfId="2" applyFont="1" applyFill="1" applyBorder="1" applyAlignment="1">
      <alignment horizontal="center" vertical="center"/>
    </xf>
    <xf numFmtId="0" fontId="14" fillId="6" borderId="22" xfId="0" applyFont="1" applyFill="1" applyBorder="1" applyAlignment="1">
      <alignment horizontal="center" vertical="center"/>
    </xf>
    <xf numFmtId="164" fontId="14" fillId="6" borderId="22" xfId="2" applyFont="1" applyFill="1" applyBorder="1" applyAlignment="1">
      <alignment horizontal="center" vertical="center"/>
    </xf>
    <xf numFmtId="0" fontId="2" fillId="6" borderId="6" xfId="0" applyFont="1" applyFill="1" applyBorder="1" applyAlignment="1">
      <alignment vertical="center"/>
    </xf>
    <xf numFmtId="173" fontId="25" fillId="0" borderId="0" xfId="0" applyNumberFormat="1" applyFont="1" applyAlignment="1">
      <alignment horizontal="left"/>
    </xf>
    <xf numFmtId="167" fontId="31" fillId="0" borderId="0" xfId="1" applyNumberFormat="1" applyFont="1" applyFill="1" applyBorder="1" applyAlignment="1">
      <alignment horizontal="right" vertical="center"/>
    </xf>
    <xf numFmtId="0" fontId="31" fillId="8" borderId="8" xfId="0" applyFont="1" applyFill="1" applyBorder="1" applyAlignment="1">
      <alignment horizontal="center"/>
    </xf>
    <xf numFmtId="2" fontId="31" fillId="0" borderId="5" xfId="0" applyNumberFormat="1" applyFont="1" applyBorder="1" applyAlignment="1">
      <alignment horizontal="center"/>
    </xf>
    <xf numFmtId="169" fontId="51" fillId="0" borderId="6" xfId="4" applyNumberFormat="1" applyFont="1" applyFill="1" applyBorder="1" applyAlignment="1">
      <alignment horizontal="left" vertical="center"/>
    </xf>
    <xf numFmtId="167" fontId="25" fillId="8" borderId="18" xfId="1" applyNumberFormat="1" applyFont="1" applyFill="1" applyBorder="1" applyAlignment="1">
      <alignment horizontal="right" vertical="center" wrapText="1"/>
    </xf>
    <xf numFmtId="164" fontId="2" fillId="6" borderId="6" xfId="2" applyFont="1" applyFill="1" applyBorder="1" applyAlignment="1">
      <alignment vertical="center"/>
    </xf>
    <xf numFmtId="0" fontId="2" fillId="11" borderId="6" xfId="0" applyFont="1" applyFill="1" applyBorder="1" applyAlignment="1">
      <alignment vertical="center"/>
    </xf>
    <xf numFmtId="43" fontId="2" fillId="6" borderId="6" xfId="0" applyNumberFormat="1" applyFont="1" applyFill="1" applyBorder="1" applyAlignment="1">
      <alignment vertical="center"/>
    </xf>
    <xf numFmtId="165" fontId="2" fillId="0" borderId="0" xfId="1" applyFont="1" applyBorder="1" applyAlignment="1">
      <alignment horizontal="left" vertical="center"/>
    </xf>
    <xf numFmtId="165" fontId="2" fillId="0" borderId="0" xfId="1" applyFont="1" applyBorder="1" applyAlignment="1">
      <alignment vertical="center"/>
    </xf>
    <xf numFmtId="165" fontId="2" fillId="0" borderId="3" xfId="1" applyFont="1" applyBorder="1" applyAlignment="1">
      <alignment horizontal="left" vertical="center"/>
    </xf>
    <xf numFmtId="165" fontId="2" fillId="0" borderId="1" xfId="1" applyFont="1" applyBorder="1" applyAlignment="1">
      <alignment horizontal="left" vertical="center"/>
    </xf>
    <xf numFmtId="165" fontId="2" fillId="0" borderId="4" xfId="1" applyFont="1" applyFill="1" applyBorder="1" applyAlignment="1">
      <alignment horizontal="left" vertical="center"/>
    </xf>
    <xf numFmtId="165" fontId="2" fillId="0" borderId="4" xfId="1" applyFont="1" applyFill="1" applyBorder="1" applyAlignment="1">
      <alignment horizontal="center" vertical="center"/>
    </xf>
    <xf numFmtId="164" fontId="7" fillId="0" borderId="4" xfId="2" applyFont="1" applyBorder="1" applyAlignment="1">
      <alignment horizontal="center" vertical="center"/>
    </xf>
    <xf numFmtId="165" fontId="2" fillId="0" borderId="2" xfId="1" applyFont="1" applyFill="1" applyBorder="1" applyAlignment="1">
      <alignment horizontal="left" vertical="center"/>
    </xf>
    <xf numFmtId="165" fontId="2" fillId="0" borderId="2" xfId="1" applyFont="1" applyFill="1" applyBorder="1" applyAlignment="1">
      <alignment horizontal="center" vertical="center"/>
    </xf>
    <xf numFmtId="164" fontId="7" fillId="0" borderId="2" xfId="2" applyFont="1" applyBorder="1" applyAlignment="1">
      <alignment horizontal="center" vertical="center"/>
    </xf>
    <xf numFmtId="168" fontId="7" fillId="0" borderId="2" xfId="1" applyNumberFormat="1" applyFont="1" applyFill="1" applyBorder="1" applyAlignment="1">
      <alignment horizontal="center" vertical="center"/>
    </xf>
    <xf numFmtId="168" fontId="7" fillId="0" borderId="4" xfId="1" applyNumberFormat="1" applyFont="1" applyFill="1" applyBorder="1" applyAlignment="1">
      <alignment horizontal="center" vertical="center"/>
    </xf>
    <xf numFmtId="165" fontId="2" fillId="0" borderId="0" xfId="1" applyFont="1" applyFill="1" applyBorder="1" applyAlignment="1">
      <alignment horizontal="left" vertical="center"/>
    </xf>
    <xf numFmtId="165" fontId="2" fillId="0" borderId="0" xfId="1" applyFont="1" applyFill="1" applyBorder="1" applyAlignment="1">
      <alignment horizontal="center" vertical="center"/>
    </xf>
    <xf numFmtId="168" fontId="7" fillId="0" borderId="0" xfId="1" applyNumberFormat="1" applyFont="1" applyFill="1" applyBorder="1" applyAlignment="1">
      <alignment horizontal="center" vertical="center"/>
    </xf>
    <xf numFmtId="165" fontId="2" fillId="0" borderId="15" xfId="1" applyFont="1" applyBorder="1" applyAlignment="1">
      <alignment horizontal="left" vertical="center"/>
    </xf>
    <xf numFmtId="165" fontId="7" fillId="0" borderId="15" xfId="1" applyFont="1" applyBorder="1" applyAlignment="1">
      <alignment horizontal="center" vertical="center"/>
    </xf>
    <xf numFmtId="168" fontId="7" fillId="0" borderId="15" xfId="1" applyNumberFormat="1" applyFont="1" applyBorder="1" applyAlignment="1">
      <alignment horizontal="right" vertical="center"/>
    </xf>
    <xf numFmtId="165" fontId="2" fillId="0" borderId="0" xfId="1" applyFont="1" applyBorder="1" applyAlignment="1">
      <alignment horizontal="center" vertical="center"/>
    </xf>
    <xf numFmtId="164" fontId="25" fillId="6" borderId="18" xfId="2" applyFont="1" applyFill="1" applyBorder="1"/>
    <xf numFmtId="2" fontId="25" fillId="6" borderId="18" xfId="0" applyNumberFormat="1" applyFont="1" applyFill="1" applyBorder="1"/>
    <xf numFmtId="44" fontId="25" fillId="6" borderId="8" xfId="0" applyNumberFormat="1" applyFont="1" applyFill="1" applyBorder="1"/>
    <xf numFmtId="164" fontId="12" fillId="0" borderId="6" xfId="2" applyFont="1" applyBorder="1" applyAlignment="1">
      <alignment horizontal="center" vertical="center"/>
    </xf>
    <xf numFmtId="164" fontId="2" fillId="0" borderId="12" xfId="2" applyFont="1" applyBorder="1" applyAlignment="1">
      <alignment horizontal="center" vertical="center"/>
    </xf>
    <xf numFmtId="164" fontId="2" fillId="0" borderId="13" xfId="2" applyFont="1" applyBorder="1" applyAlignment="1">
      <alignment horizontal="center" vertical="center"/>
    </xf>
    <xf numFmtId="164" fontId="2" fillId="0" borderId="13" xfId="2" applyFont="1" applyFill="1" applyBorder="1" applyAlignment="1">
      <alignment horizontal="center" vertical="center"/>
    </xf>
    <xf numFmtId="164" fontId="2" fillId="0" borderId="12" xfId="2" applyFont="1" applyFill="1" applyBorder="1" applyAlignment="1">
      <alignment horizontal="center" vertical="center"/>
    </xf>
    <xf numFmtId="164" fontId="2" fillId="0" borderId="5" xfId="2" applyFont="1" applyFill="1" applyBorder="1" applyAlignment="1">
      <alignment horizontal="center" vertical="center"/>
    </xf>
    <xf numFmtId="164" fontId="52" fillId="0" borderId="13" xfId="2" applyFont="1" applyFill="1" applyBorder="1" applyAlignment="1">
      <alignment horizontal="center" vertical="center"/>
    </xf>
    <xf numFmtId="164" fontId="2" fillId="0" borderId="16" xfId="2" applyFont="1" applyBorder="1" applyAlignment="1">
      <alignment horizontal="right" vertical="center"/>
    </xf>
    <xf numFmtId="165" fontId="2" fillId="0" borderId="8" xfId="1" applyFont="1" applyBorder="1" applyAlignment="1">
      <alignment horizontal="center" vertical="center"/>
    </xf>
    <xf numFmtId="165" fontId="12" fillId="0" borderId="10" xfId="1" applyFont="1" applyBorder="1" applyAlignment="1">
      <alignment horizontal="center" vertical="center"/>
    </xf>
    <xf numFmtId="165" fontId="2" fillId="0" borderId="32" xfId="1" applyFont="1" applyBorder="1" applyAlignment="1">
      <alignment horizontal="center" vertical="center"/>
    </xf>
    <xf numFmtId="165" fontId="2" fillId="0" borderId="65" xfId="1" applyFont="1" applyBorder="1" applyAlignment="1">
      <alignment horizontal="center" vertical="center"/>
    </xf>
    <xf numFmtId="165" fontId="2" fillId="0" borderId="65" xfId="1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center" vertical="center"/>
    </xf>
    <xf numFmtId="165" fontId="52" fillId="0" borderId="65" xfId="1" applyFont="1" applyFill="1" applyBorder="1" applyAlignment="1">
      <alignment horizontal="center" vertical="center"/>
    </xf>
    <xf numFmtId="165" fontId="2" fillId="0" borderId="14" xfId="1" applyFont="1" applyBorder="1" applyAlignment="1">
      <alignment horizontal="right" vertical="center"/>
    </xf>
    <xf numFmtId="165" fontId="2" fillId="0" borderId="8" xfId="1" applyFont="1" applyBorder="1" applyAlignment="1">
      <alignment horizontal="left" vertical="center"/>
    </xf>
    <xf numFmtId="164" fontId="2" fillId="12" borderId="6" xfId="2" applyFont="1" applyFill="1" applyBorder="1" applyAlignment="1">
      <alignment vertical="center"/>
    </xf>
    <xf numFmtId="164" fontId="2" fillId="12" borderId="12" xfId="2" applyFont="1" applyFill="1" applyBorder="1" applyAlignment="1">
      <alignment horizontal="center" vertical="center"/>
    </xf>
    <xf numFmtId="168" fontId="3" fillId="0" borderId="0" xfId="1" applyNumberFormat="1" applyFont="1" applyFill="1" applyBorder="1" applyAlignment="1">
      <alignment horizontal="center" vertical="top"/>
    </xf>
    <xf numFmtId="168" fontId="11" fillId="0" borderId="0" xfId="1" applyNumberFormat="1" applyFont="1" applyFill="1" applyBorder="1" applyAlignment="1">
      <alignment horizontal="center" vertical="top"/>
    </xf>
    <xf numFmtId="168" fontId="3" fillId="0" borderId="3" xfId="1" applyNumberFormat="1" applyFont="1" applyFill="1" applyBorder="1" applyAlignment="1">
      <alignment horizontal="center" vertical="center"/>
    </xf>
    <xf numFmtId="168" fontId="3" fillId="0" borderId="0" xfId="1" applyNumberFormat="1" applyFont="1" applyFill="1" applyBorder="1" applyAlignment="1">
      <alignment horizontal="center" vertical="center"/>
    </xf>
    <xf numFmtId="0" fontId="2" fillId="10" borderId="6" xfId="0" applyFont="1" applyFill="1" applyBorder="1" applyAlignment="1">
      <alignment horizontal="center" vertical="center"/>
    </xf>
    <xf numFmtId="0" fontId="14" fillId="0" borderId="20" xfId="0" applyFont="1" applyBorder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165" fontId="27" fillId="0" borderId="0" xfId="1" applyFont="1" applyFill="1" applyBorder="1" applyAlignment="1">
      <alignment horizontal="right" vertical="top"/>
    </xf>
    <xf numFmtId="0" fontId="31" fillId="0" borderId="0" xfId="0" applyFont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164" fontId="25" fillId="0" borderId="0" xfId="2" applyFont="1" applyFill="1" applyBorder="1" applyAlignment="1" applyProtection="1">
      <alignment horizontal="left"/>
      <protection locked="0"/>
    </xf>
    <xf numFmtId="0" fontId="25" fillId="0" borderId="0" xfId="0" applyFont="1" applyAlignment="1">
      <alignment horizontal="center" vertical="top" wrapText="1"/>
    </xf>
    <xf numFmtId="165" fontId="16" fillId="0" borderId="24" xfId="1" applyFont="1" applyFill="1" applyBorder="1" applyAlignment="1">
      <alignment horizontal="center" vertical="center"/>
    </xf>
    <xf numFmtId="165" fontId="16" fillId="0" borderId="25" xfId="1" applyFont="1" applyFill="1" applyBorder="1" applyAlignment="1">
      <alignment horizontal="center" vertical="center"/>
    </xf>
    <xf numFmtId="0" fontId="31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27" fillId="0" borderId="0" xfId="0" applyFont="1" applyAlignment="1">
      <alignment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0" fontId="25" fillId="0" borderId="18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3" fontId="25" fillId="6" borderId="5" xfId="0" applyNumberFormat="1" applyFont="1" applyFill="1" applyBorder="1" applyAlignment="1">
      <alignment horizontal="center" vertical="center"/>
    </xf>
    <xf numFmtId="164" fontId="2" fillId="0" borderId="6" xfId="2" applyFont="1" applyFill="1" applyBorder="1" applyAlignment="1">
      <alignment vertical="center"/>
    </xf>
  </cellXfs>
  <cellStyles count="7">
    <cellStyle name="Comma" xfId="1" builtinId="3"/>
    <cellStyle name="Currency" xfId="2" builtinId="4"/>
    <cellStyle name="mh" xfId="3" xr:uid="{00000000-0005-0000-0000-000002000000}"/>
    <cellStyle name="Normal" xfId="0" builtinId="0"/>
    <cellStyle name="Percent" xfId="4" builtinId="5"/>
    <cellStyle name="sh1" xfId="5" xr:uid="{00000000-0005-0000-0000-000005000000}"/>
    <cellStyle name="sh2" xfId="6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N%20Sullivan%20on%20C\ZNT%20Information\Projects\Victoria%20Concrete%20Pty%20Ltd\cpe\costplan\7168cp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62"/>
  <sheetViews>
    <sheetView showGridLines="0" tabSelected="1" zoomScale="90" zoomScaleNormal="90" workbookViewId="0">
      <selection activeCell="Y5" sqref="Y5"/>
    </sheetView>
  </sheetViews>
  <sheetFormatPr defaultColWidth="9" defaultRowHeight="15.75" customHeight="1"/>
  <cols>
    <col min="1" max="1" width="3.19921875" style="8" customWidth="1"/>
    <col min="2" max="2" width="18" style="6" customWidth="1"/>
    <col min="3" max="3" width="3.5" style="3" customWidth="1"/>
    <col min="4" max="4" width="2.19921875" style="7" customWidth="1"/>
    <col min="5" max="5" width="8.09765625" style="4" customWidth="1"/>
    <col min="6" max="7" width="5.59765625" style="113" customWidth="1"/>
    <col min="8" max="8" width="11.3984375" style="919" customWidth="1"/>
    <col min="9" max="12" width="9.8984375" style="113" customWidth="1"/>
    <col min="13" max="13" width="10.69921875" style="121" customWidth="1"/>
    <col min="14" max="14" width="10.69921875" style="98" customWidth="1"/>
    <col min="15" max="15" width="11.19921875" style="98" customWidth="1"/>
    <col min="16" max="16" width="7.19921875" style="95" customWidth="1"/>
    <col min="17" max="17" width="12.19921875" style="2" customWidth="1"/>
    <col min="18" max="18" width="9.59765625" style="2" bestFit="1" customWidth="1"/>
    <col min="19" max="19" width="15.69921875" style="2" customWidth="1"/>
    <col min="20" max="16384" width="9" style="2"/>
  </cols>
  <sheetData>
    <row r="1" spans="1:21" ht="15.75" customHeight="1">
      <c r="A1" s="1" t="s">
        <v>0</v>
      </c>
      <c r="B1" s="12"/>
      <c r="C1" s="889"/>
      <c r="D1" s="890"/>
      <c r="E1" s="113"/>
      <c r="N1" s="930" t="s">
        <v>1</v>
      </c>
      <c r="O1" s="930"/>
      <c r="P1" s="930"/>
      <c r="Q1" s="930"/>
    </row>
    <row r="2" spans="1:21" ht="15.75" customHeight="1">
      <c r="A2" s="9"/>
      <c r="B2" s="12"/>
      <c r="C2" s="889"/>
      <c r="D2" s="890"/>
      <c r="E2" s="113"/>
      <c r="N2" s="931" t="s">
        <v>2</v>
      </c>
      <c r="O2" s="931"/>
      <c r="P2" s="931"/>
      <c r="Q2" s="931"/>
    </row>
    <row r="3" spans="1:21" ht="15.75" customHeight="1">
      <c r="A3" s="10"/>
      <c r="B3" s="11"/>
      <c r="C3" s="891"/>
      <c r="D3" s="14"/>
      <c r="E3" s="113"/>
      <c r="N3" s="932" t="s">
        <v>3</v>
      </c>
      <c r="O3" s="932"/>
      <c r="P3" s="932"/>
      <c r="Q3" s="933"/>
    </row>
    <row r="4" spans="1:21" s="5" customFormat="1" ht="15.75" customHeight="1">
      <c r="A4" s="13" t="s">
        <v>4</v>
      </c>
      <c r="B4" s="892"/>
      <c r="C4" s="15"/>
      <c r="D4" s="126"/>
      <c r="E4" s="126"/>
      <c r="F4" s="127"/>
      <c r="G4" s="126"/>
      <c r="H4" s="920" t="s">
        <v>368</v>
      </c>
      <c r="I4" s="911" t="s">
        <v>139</v>
      </c>
      <c r="J4" s="911" t="s">
        <v>365</v>
      </c>
      <c r="K4" s="911" t="s">
        <v>366</v>
      </c>
      <c r="L4" s="109" t="s">
        <v>367</v>
      </c>
      <c r="M4" s="104" t="s">
        <v>5</v>
      </c>
      <c r="N4" s="97" t="s">
        <v>6</v>
      </c>
      <c r="O4" s="97" t="s">
        <v>7</v>
      </c>
      <c r="P4" s="817" t="s">
        <v>8</v>
      </c>
      <c r="Q4" s="934" t="s">
        <v>9</v>
      </c>
      <c r="R4" s="934"/>
      <c r="S4" s="818"/>
    </row>
    <row r="5" spans="1:21" ht="15.75" customHeight="1">
      <c r="A5" s="474" t="str">
        <f>'Bulk Excavation'!B5</f>
        <v>BULK EXCAVATION</v>
      </c>
      <c r="B5" s="893"/>
      <c r="C5" s="894"/>
      <c r="D5" s="895"/>
      <c r="E5" s="114"/>
      <c r="F5" s="120"/>
      <c r="G5" s="114"/>
      <c r="H5" s="921">
        <f>'Bulk Excavation'!G48</f>
        <v>40</v>
      </c>
      <c r="I5" s="912">
        <f>'Bulk Excavation'!M48</f>
        <v>2600</v>
      </c>
      <c r="J5" s="912">
        <f>'Bulk Excavation'!M50-'Bulk Excavation'!M48-'Bulk Excavation'!M45-'Bulk Excavation'!M44</f>
        <v>131642.0336</v>
      </c>
      <c r="K5" s="912">
        <f>'Bulk Excavation'!M44+'Bulk Excavation'!M45</f>
        <v>8600</v>
      </c>
      <c r="L5" s="912">
        <f>SUM(I5:K5)</f>
        <v>142842.0336</v>
      </c>
      <c r="M5" s="912">
        <v>142842.01</v>
      </c>
      <c r="N5" s="105">
        <f>'Bulk Excavation'!O50</f>
        <v>205926.27540000001</v>
      </c>
      <c r="O5" s="822">
        <f>'Bulk Excavation'!N49</f>
        <v>0</v>
      </c>
      <c r="P5" s="821" t="s">
        <v>10</v>
      </c>
      <c r="Q5" s="832">
        <v>6419</v>
      </c>
      <c r="R5" s="832">
        <v>35</v>
      </c>
      <c r="S5" s="830">
        <f>Q5*R5</f>
        <v>224665</v>
      </c>
    </row>
    <row r="6" spans="1:21" ht="15.75" customHeight="1">
      <c r="A6" s="474" t="str">
        <f>'Footing &amp; Detailed Excavation'!B6</f>
        <v>FOOTINGS AND DETAILED EXCAVATION</v>
      </c>
      <c r="B6" s="896"/>
      <c r="C6" s="897"/>
      <c r="D6" s="899"/>
      <c r="E6" s="117"/>
      <c r="F6" s="117"/>
      <c r="G6" s="122"/>
      <c r="H6" s="923">
        <f>'Footing &amp; Detailed Excavation'!H47+'Footing &amp; Detailed Excavation'!H48</f>
        <v>256</v>
      </c>
      <c r="I6" s="914">
        <f>'Footing &amp; Detailed Excavation'!M47+'Footing &amp; Detailed Excavation'!M48</f>
        <v>19200</v>
      </c>
      <c r="J6" s="914">
        <f>M6-I6-K6</f>
        <v>31148.699999999997</v>
      </c>
      <c r="K6" s="914">
        <f>'Footing &amp; Detailed Excavation'!M7+'Footing &amp; Detailed Excavation'!M22+'Footing &amp; Detailed Excavation'!M50</f>
        <v>17364</v>
      </c>
      <c r="L6" s="912">
        <f>SUM(I6:K6)</f>
        <v>67712.7</v>
      </c>
      <c r="M6" s="912">
        <v>67712.7</v>
      </c>
      <c r="N6" s="106">
        <f>'Footing &amp; Detailed Excavation'!O60</f>
        <v>100956.04978862627</v>
      </c>
      <c r="O6" s="822">
        <f>'Footing &amp; Detailed Excavation'!N59</f>
        <v>715.12293277486685</v>
      </c>
      <c r="P6" s="821" t="s">
        <v>10</v>
      </c>
      <c r="Q6" s="887">
        <v>142</v>
      </c>
      <c r="R6" s="835">
        <v>750</v>
      </c>
      <c r="S6" s="830">
        <f>Q6*R6</f>
        <v>106500</v>
      </c>
    </row>
    <row r="7" spans="1:21" ht="15.75" customHeight="1">
      <c r="A7" s="474" t="s">
        <v>372</v>
      </c>
      <c r="B7" s="893"/>
      <c r="C7" s="894"/>
      <c r="D7" s="900"/>
      <c r="E7" s="118"/>
      <c r="F7" s="118"/>
      <c r="G7" s="123"/>
      <c r="H7" s="929"/>
      <c r="I7" s="929"/>
      <c r="J7" s="929"/>
      <c r="K7" s="929"/>
      <c r="L7" s="929">
        <f>SUM(I7:K7)</f>
        <v>0</v>
      </c>
      <c r="M7" s="929"/>
      <c r="N7" s="105"/>
      <c r="O7" s="822"/>
      <c r="P7" s="821"/>
      <c r="Q7" s="833"/>
      <c r="R7" s="835"/>
      <c r="S7" s="928">
        <f>N7</f>
        <v>0</v>
      </c>
    </row>
    <row r="8" spans="1:21" ht="15.75" customHeight="1">
      <c r="A8" s="474" t="str">
        <f>'Bored Piers'!B5</f>
        <v>BORED PIERS</v>
      </c>
      <c r="B8" s="893"/>
      <c r="C8" s="894"/>
      <c r="D8" s="895"/>
      <c r="E8" s="114"/>
      <c r="F8" s="120"/>
      <c r="G8" s="114"/>
      <c r="H8" s="921"/>
      <c r="I8" s="912"/>
      <c r="J8" s="912">
        <v>0</v>
      </c>
      <c r="K8" s="912">
        <f>'Bored Piers'!M42</f>
        <v>51976.594171320197</v>
      </c>
      <c r="L8" s="912">
        <f t="shared" ref="L8:L33" si="0">SUM(I8:K8)</f>
        <v>51976.594171320197</v>
      </c>
      <c r="M8" s="912">
        <v>51976.65</v>
      </c>
      <c r="N8" s="105"/>
      <c r="O8" s="822"/>
      <c r="P8" s="821"/>
      <c r="Q8" s="887">
        <v>218</v>
      </c>
      <c r="R8" s="835">
        <v>375</v>
      </c>
      <c r="S8" s="830">
        <f>Q8*R8</f>
        <v>81750</v>
      </c>
    </row>
    <row r="9" spans="1:21" ht="15.75" customHeight="1">
      <c r="A9" s="474" t="s">
        <v>16</v>
      </c>
      <c r="B9" s="896"/>
      <c r="C9" s="897"/>
      <c r="D9" s="899"/>
      <c r="E9" s="117"/>
      <c r="F9" s="117"/>
      <c r="G9" s="122"/>
      <c r="H9" s="923"/>
      <c r="I9" s="914"/>
      <c r="J9" s="914">
        <v>23406.09</v>
      </c>
      <c r="K9" s="914"/>
      <c r="L9" s="912">
        <f>SUM(I9:K9)</f>
        <v>23406.09</v>
      </c>
      <c r="M9" s="912">
        <v>23406.09</v>
      </c>
      <c r="N9" s="106">
        <f>115*O9</f>
        <v>40250</v>
      </c>
      <c r="O9" s="822">
        <v>350</v>
      </c>
      <c r="P9" s="821">
        <v>91.4</v>
      </c>
      <c r="Q9" s="887">
        <v>72</v>
      </c>
      <c r="R9" s="835">
        <v>4.5</v>
      </c>
      <c r="S9" s="830">
        <f>P9*Q9*R9+7200</f>
        <v>36813.600000000006</v>
      </c>
      <c r="T9" s="2" t="s">
        <v>17</v>
      </c>
    </row>
    <row r="10" spans="1:21" ht="15.75" customHeight="1">
      <c r="A10" s="474" t="str">
        <f>'Capping Beam'!B5</f>
        <v>CAPPING BEAM</v>
      </c>
      <c r="B10" s="893"/>
      <c r="C10" s="894"/>
      <c r="D10" s="895"/>
      <c r="E10" s="114"/>
      <c r="F10" s="120"/>
      <c r="G10" s="114"/>
      <c r="H10" s="921">
        <f>'Capping Beam'!G69</f>
        <v>32.46</v>
      </c>
      <c r="I10" s="912">
        <f>'Capping Beam'!M69</f>
        <v>2109.9</v>
      </c>
      <c r="J10" s="914">
        <f>M10-I10-K10</f>
        <v>11718.75</v>
      </c>
      <c r="K10" s="912">
        <v>0</v>
      </c>
      <c r="L10" s="912">
        <f t="shared" si="0"/>
        <v>13828.65</v>
      </c>
      <c r="M10" s="912">
        <v>13828.65</v>
      </c>
      <c r="N10" s="105">
        <f>'Capping Beam'!O75</f>
        <v>20743.084049999998</v>
      </c>
      <c r="O10" s="822">
        <f>'Capping Beam'!N73</f>
        <v>1382.8722699999998</v>
      </c>
      <c r="P10" s="821" t="s">
        <v>11</v>
      </c>
      <c r="Q10" s="887">
        <v>29</v>
      </c>
      <c r="R10" s="835">
        <v>750</v>
      </c>
      <c r="S10" s="830">
        <f>Q10*R10</f>
        <v>21750</v>
      </c>
    </row>
    <row r="11" spans="1:21" ht="15.75" customHeight="1">
      <c r="A11" s="474" t="str">
        <f>Shotcrete!B1</f>
        <v>SHOTCRETE</v>
      </c>
      <c r="B11" s="896"/>
      <c r="C11" s="897"/>
      <c r="D11" s="898"/>
      <c r="E11" s="115"/>
      <c r="F11" s="116"/>
      <c r="G11" s="115"/>
      <c r="H11" s="922"/>
      <c r="I11" s="913"/>
      <c r="J11" s="913">
        <v>10172.799999999999</v>
      </c>
      <c r="K11" s="913"/>
      <c r="L11" s="915">
        <f>SUM(I11:K11)</f>
        <v>10172.799999999999</v>
      </c>
      <c r="M11" s="912">
        <v>10172.799999999999</v>
      </c>
      <c r="N11" s="106">
        <f>Shotcrete!O54</f>
        <v>15259.272150000001</v>
      </c>
      <c r="O11" s="822">
        <f>Shotcrete!N52</f>
        <v>241.25331462450595</v>
      </c>
      <c r="P11" s="821" t="s">
        <v>12</v>
      </c>
      <c r="Q11" s="887">
        <v>64</v>
      </c>
      <c r="R11" s="835">
        <v>250</v>
      </c>
      <c r="S11" s="830">
        <f>Q11*R11</f>
        <v>16000</v>
      </c>
    </row>
    <row r="12" spans="1:21" ht="15.75" customHeight="1">
      <c r="A12" s="474" t="s">
        <v>13</v>
      </c>
      <c r="B12" s="896"/>
      <c r="C12" s="897"/>
      <c r="D12" s="898"/>
      <c r="E12" s="115"/>
      <c r="F12" s="116"/>
      <c r="G12" s="115"/>
      <c r="H12" s="922"/>
      <c r="I12" s="913"/>
      <c r="J12" s="913">
        <v>2288.88</v>
      </c>
      <c r="K12" s="913"/>
      <c r="L12" s="915">
        <f>SUM(I12:K12)</f>
        <v>2288.88</v>
      </c>
      <c r="M12" s="912">
        <v>2288.88</v>
      </c>
      <c r="N12" s="106"/>
      <c r="O12" s="822"/>
      <c r="P12" s="821" t="s">
        <v>12</v>
      </c>
      <c r="Q12" s="887">
        <v>24</v>
      </c>
      <c r="R12" s="835">
        <v>150</v>
      </c>
      <c r="S12" s="830">
        <f>Q12*R12</f>
        <v>3600</v>
      </c>
    </row>
    <row r="13" spans="1:21" ht="15.75" customHeight="1">
      <c r="A13" s="474" t="str">
        <f>'Infill Slab'!B5</f>
        <v>INFILL SLABS</v>
      </c>
      <c r="B13" s="896"/>
      <c r="C13" s="897"/>
      <c r="D13" s="899"/>
      <c r="E13" s="117"/>
      <c r="F13" s="117"/>
      <c r="G13" s="122"/>
      <c r="H13" s="923">
        <f>'Infill Slab'!H74+'Infill Slab'!H75</f>
        <v>320</v>
      </c>
      <c r="I13" s="914">
        <f>'Infill Slab'!M74+'Infill Slab'!M75</f>
        <v>24000</v>
      </c>
      <c r="J13" s="914">
        <f>M13-I13-K13</f>
        <v>47527.5</v>
      </c>
      <c r="K13" s="914"/>
      <c r="L13" s="912">
        <f>SUM(I13:K13)</f>
        <v>71527.5</v>
      </c>
      <c r="M13" s="912">
        <v>71527.5</v>
      </c>
      <c r="N13" s="106">
        <f>'Infill Slab'!O85</f>
        <v>97691.25</v>
      </c>
      <c r="O13" s="822">
        <f>'Infill Slab'!N84</f>
        <v>108.54583333333333</v>
      </c>
      <c r="P13" s="821" t="s">
        <v>12</v>
      </c>
      <c r="Q13" s="888">
        <v>900</v>
      </c>
      <c r="R13" s="835">
        <v>125</v>
      </c>
      <c r="S13" s="830">
        <f t="shared" ref="S13" si="1">Q13*R13</f>
        <v>112500</v>
      </c>
      <c r="U13" s="2" t="s">
        <v>14</v>
      </c>
    </row>
    <row r="14" spans="1:21" ht="15.75" customHeight="1">
      <c r="A14" s="474" t="s">
        <v>15</v>
      </c>
      <c r="B14" s="896"/>
      <c r="C14" s="897"/>
      <c r="D14" s="899"/>
      <c r="E14" s="117"/>
      <c r="F14" s="117"/>
      <c r="G14" s="122"/>
      <c r="H14" s="929"/>
      <c r="I14" s="929"/>
      <c r="J14" s="929"/>
      <c r="K14" s="929"/>
      <c r="L14" s="929">
        <f>SUM(I14:K14)</f>
        <v>0</v>
      </c>
      <c r="M14" s="929"/>
      <c r="N14" s="106">
        <f>180*O14</f>
        <v>72000</v>
      </c>
      <c r="O14" s="822">
        <v>400</v>
      </c>
      <c r="P14" s="821"/>
      <c r="Q14" s="832"/>
      <c r="R14" s="835"/>
      <c r="S14" s="928">
        <v>0</v>
      </c>
    </row>
    <row r="15" spans="1:21" ht="15.75" customHeight="1">
      <c r="A15" s="474" t="s">
        <v>18</v>
      </c>
      <c r="B15" s="896"/>
      <c r="C15" s="897"/>
      <c r="D15" s="899"/>
      <c r="E15" s="117"/>
      <c r="F15" s="117"/>
      <c r="G15" s="122"/>
      <c r="H15" s="923">
        <v>645</v>
      </c>
      <c r="I15" s="914">
        <v>41925</v>
      </c>
      <c r="J15" s="914">
        <f>M15-I15-K15</f>
        <v>186388.33000000002</v>
      </c>
      <c r="K15" s="914">
        <v>58655</v>
      </c>
      <c r="L15" s="915">
        <f>SUM(I15:K15)</f>
        <v>286968.33</v>
      </c>
      <c r="M15" s="912">
        <v>286968.33</v>
      </c>
      <c r="N15" s="106">
        <f>645*O15</f>
        <v>303150</v>
      </c>
      <c r="O15" s="822">
        <v>470</v>
      </c>
      <c r="P15" s="821" t="s">
        <v>12</v>
      </c>
      <c r="Q15" s="879">
        <v>1003</v>
      </c>
      <c r="R15" s="835">
        <v>450</v>
      </c>
      <c r="S15" s="830">
        <f>Q15*R15</f>
        <v>451350</v>
      </c>
    </row>
    <row r="16" spans="1:21" ht="15.75" customHeight="1">
      <c r="A16" s="474" t="str">
        <f>'First Floor Suspended Slab'!B5</f>
        <v>FIRST FLOOR SUSPENDED SLAB</v>
      </c>
      <c r="B16" s="896"/>
      <c r="C16" s="897"/>
      <c r="D16" s="899"/>
      <c r="E16" s="117"/>
      <c r="F16" s="117"/>
      <c r="G16" s="122"/>
      <c r="H16" s="923">
        <f>'First Floor Suspended Slab'!H86</f>
        <v>832</v>
      </c>
      <c r="I16" s="914">
        <f>'First Floor Suspended Slab'!M86</f>
        <v>62400</v>
      </c>
      <c r="J16" s="914">
        <f>M16-I16-K16</f>
        <v>120304.85</v>
      </c>
      <c r="K16" s="914">
        <f>'First Floor Suspended Slab'!M89+'First Floor Suspended Slab'!M79+'First Floor Suspended Slab'!M74</f>
        <v>17794.68</v>
      </c>
      <c r="L16" s="915">
        <f>SUM(I16:K16)</f>
        <v>200499.53</v>
      </c>
      <c r="M16" s="912">
        <v>200499.53</v>
      </c>
      <c r="N16" s="106">
        <f>690*O16</f>
        <v>255300</v>
      </c>
      <c r="O16" s="822">
        <v>370</v>
      </c>
      <c r="P16" s="821" t="s">
        <v>12</v>
      </c>
      <c r="Q16" s="887">
        <v>901</v>
      </c>
      <c r="R16" s="835">
        <v>350</v>
      </c>
      <c r="S16" s="830">
        <f t="shared" ref="S16:S18" si="2">Q16*R16</f>
        <v>315350</v>
      </c>
    </row>
    <row r="17" spans="1:21" ht="15.75" customHeight="1">
      <c r="A17" s="474" t="str">
        <f>'Second Floor Suspended Slab'!B5</f>
        <v>SECOND FLOOR SUSPENDED SLAB</v>
      </c>
      <c r="B17" s="896"/>
      <c r="C17" s="897"/>
      <c r="D17" s="899"/>
      <c r="E17" s="117"/>
      <c r="F17" s="117"/>
      <c r="G17" s="122"/>
      <c r="H17" s="929"/>
      <c r="I17" s="929"/>
      <c r="J17" s="929"/>
      <c r="K17" s="929"/>
      <c r="L17" s="929">
        <f>SUM(I17:K17)</f>
        <v>0</v>
      </c>
      <c r="M17" s="912">
        <v>164449.67000000001</v>
      </c>
      <c r="N17" s="106">
        <f>595*O17</f>
        <v>220150</v>
      </c>
      <c r="O17" s="822">
        <v>370</v>
      </c>
      <c r="P17" s="821" t="s">
        <v>12</v>
      </c>
      <c r="Q17" s="887">
        <v>739</v>
      </c>
      <c r="R17" s="835">
        <v>350</v>
      </c>
      <c r="S17" s="830">
        <f t="shared" si="2"/>
        <v>258650</v>
      </c>
    </row>
    <row r="18" spans="1:21" ht="15.75" customHeight="1">
      <c r="A18" s="474" t="s">
        <v>19</v>
      </c>
      <c r="B18" s="896"/>
      <c r="C18" s="897"/>
      <c r="D18" s="899"/>
      <c r="E18" s="117"/>
      <c r="F18" s="117"/>
      <c r="G18" s="122"/>
      <c r="H18" s="929"/>
      <c r="I18" s="929"/>
      <c r="J18" s="929"/>
      <c r="K18" s="929"/>
      <c r="L18" s="929">
        <f>SUM(I18:K18)</f>
        <v>0</v>
      </c>
      <c r="M18" s="929"/>
      <c r="N18" s="106">
        <f>390*O18</f>
        <v>144300</v>
      </c>
      <c r="O18" s="822">
        <v>370</v>
      </c>
      <c r="P18" s="821" t="s">
        <v>12</v>
      </c>
      <c r="Q18" s="832">
        <v>0</v>
      </c>
      <c r="R18" s="835">
        <v>270</v>
      </c>
      <c r="S18" s="928">
        <f t="shared" si="2"/>
        <v>0</v>
      </c>
    </row>
    <row r="19" spans="1:21" ht="15.75" customHeight="1">
      <c r="A19" s="474" t="str">
        <f>Columns!B5</f>
        <v>COLUMNS</v>
      </c>
      <c r="B19" s="896"/>
      <c r="C19" s="897"/>
      <c r="D19" s="899"/>
      <c r="E19" s="117"/>
      <c r="F19" s="117"/>
      <c r="G19" s="122"/>
      <c r="H19" s="929"/>
      <c r="I19" s="929"/>
      <c r="J19" s="929"/>
      <c r="K19" s="929"/>
      <c r="L19" s="929">
        <f>SUM(I19:K19)</f>
        <v>0</v>
      </c>
      <c r="M19" s="912">
        <v>42280.7</v>
      </c>
      <c r="N19" s="106"/>
      <c r="O19" s="822"/>
      <c r="P19" s="821"/>
      <c r="Q19" s="887">
        <v>21</v>
      </c>
      <c r="R19" s="832"/>
      <c r="S19" s="830">
        <v>66500</v>
      </c>
      <c r="U19" s="2">
        <v>3500</v>
      </c>
    </row>
    <row r="20" spans="1:21" ht="15.75" customHeight="1">
      <c r="A20" s="474" t="s">
        <v>20</v>
      </c>
      <c r="B20" s="896"/>
      <c r="C20" s="897"/>
      <c r="D20" s="899"/>
      <c r="E20" s="117"/>
      <c r="F20" s="117"/>
      <c r="G20" s="122"/>
      <c r="H20" s="929"/>
      <c r="I20" s="929"/>
      <c r="J20" s="929"/>
      <c r="K20" s="929"/>
      <c r="L20" s="929">
        <f>SUM(I20:K20)</f>
        <v>0</v>
      </c>
      <c r="M20" s="912">
        <v>45491.49</v>
      </c>
      <c r="N20" s="106">
        <f>'AFS Logic Walls Walls'!O22</f>
        <v>0</v>
      </c>
      <c r="O20" s="822">
        <v>260</v>
      </c>
      <c r="P20" s="821" t="s">
        <v>12</v>
      </c>
      <c r="Q20" s="879">
        <v>265</v>
      </c>
      <c r="R20" s="835">
        <v>270</v>
      </c>
      <c r="S20" s="830">
        <f>Q20*R20</f>
        <v>71550</v>
      </c>
      <c r="T20" s="2" t="s">
        <v>21</v>
      </c>
    </row>
    <row r="21" spans="1:21" ht="15.75" customHeight="1">
      <c r="A21" s="474" t="s">
        <v>22</v>
      </c>
      <c r="B21" s="896"/>
      <c r="C21" s="897"/>
      <c r="D21" s="899"/>
      <c r="E21" s="117"/>
      <c r="F21" s="117"/>
      <c r="G21" s="122"/>
      <c r="H21" s="923"/>
      <c r="I21" s="914"/>
      <c r="J21" s="914">
        <f>'AFS Logic Walls Walls'!M21</f>
        <v>254065.70893649998</v>
      </c>
      <c r="K21" s="914"/>
      <c r="L21" s="912">
        <f t="shared" si="0"/>
        <v>254065.70893649998</v>
      </c>
      <c r="M21" s="912">
        <v>254065.68</v>
      </c>
      <c r="N21" s="106">
        <f>'AFS Logic Walls Walls'!O23</f>
        <v>385031.39999999997</v>
      </c>
      <c r="O21" s="822">
        <v>260</v>
      </c>
      <c r="P21" s="821" t="s">
        <v>12</v>
      </c>
      <c r="Q21" s="879">
        <v>1480</v>
      </c>
      <c r="R21" s="835">
        <v>270</v>
      </c>
      <c r="S21" s="830">
        <f>Q21*R21</f>
        <v>399600</v>
      </c>
    </row>
    <row r="22" spans="1:21" ht="15.75" customHeight="1">
      <c r="A22" s="474" t="str">
        <f>Stairs!B5</f>
        <v>STAIRS</v>
      </c>
      <c r="B22" s="896"/>
      <c r="C22" s="897"/>
      <c r="D22" s="899"/>
      <c r="E22" s="117"/>
      <c r="F22" s="117"/>
      <c r="G22" s="122"/>
      <c r="H22" s="923"/>
      <c r="I22" s="914"/>
      <c r="J22" s="914">
        <v>0</v>
      </c>
      <c r="K22" s="914">
        <v>10236.379999999999</v>
      </c>
      <c r="L22" s="912">
        <f t="shared" si="0"/>
        <v>10236.379999999999</v>
      </c>
      <c r="M22" s="912">
        <v>10236.379999999999</v>
      </c>
      <c r="N22" s="106">
        <f>Stairs!O14</f>
        <v>15364.61355</v>
      </c>
      <c r="O22" s="822">
        <f>Stairs!N7</f>
        <v>1074.4485</v>
      </c>
      <c r="P22" s="821" t="s">
        <v>23</v>
      </c>
      <c r="Q22" s="879">
        <v>9.1999999999999993</v>
      </c>
      <c r="R22" s="886">
        <v>1750</v>
      </c>
      <c r="S22" s="830">
        <f>Q22*R22</f>
        <v>16099.999999999998</v>
      </c>
      <c r="T22" s="2" t="s">
        <v>24</v>
      </c>
    </row>
    <row r="23" spans="1:21" ht="15.75" customHeight="1">
      <c r="A23" s="474" t="str">
        <f>'Miscellaneous Works'!B5</f>
        <v>MISCELLANEOUS WORKS</v>
      </c>
      <c r="B23" s="896"/>
      <c r="C23" s="897"/>
      <c r="D23" s="899"/>
      <c r="E23" s="117"/>
      <c r="F23" s="117"/>
      <c r="G23" s="122"/>
      <c r="H23" s="929">
        <v>0</v>
      </c>
      <c r="I23" s="929">
        <v>0</v>
      </c>
      <c r="J23" s="929"/>
      <c r="K23" s="929">
        <v>0</v>
      </c>
      <c r="L23" s="929">
        <f t="shared" si="0"/>
        <v>0</v>
      </c>
      <c r="M23" s="929">
        <v>0</v>
      </c>
      <c r="N23" s="106">
        <f>'Miscellaneous Works'!O38</f>
        <v>16180</v>
      </c>
      <c r="O23" s="822"/>
      <c r="P23" s="821"/>
      <c r="Q23" s="832"/>
      <c r="R23" s="835"/>
      <c r="S23" s="928"/>
    </row>
    <row r="24" spans="1:21" ht="15.75" customHeight="1">
      <c r="A24" s="474" t="s">
        <v>369</v>
      </c>
      <c r="B24" s="474"/>
      <c r="C24" s="897"/>
      <c r="D24" s="899"/>
      <c r="E24" s="117"/>
      <c r="F24" s="117"/>
      <c r="G24" s="122"/>
      <c r="H24" s="929"/>
      <c r="I24" s="929"/>
      <c r="J24" s="929"/>
      <c r="K24" s="929"/>
      <c r="L24" s="929">
        <f t="shared" si="0"/>
        <v>0</v>
      </c>
      <c r="M24" s="929"/>
      <c r="N24" s="106">
        <f>72*O24</f>
        <v>54000</v>
      </c>
      <c r="O24" s="822">
        <v>750</v>
      </c>
      <c r="P24" s="821"/>
      <c r="Q24" s="832"/>
      <c r="R24" s="835"/>
      <c r="S24" s="928">
        <v>0</v>
      </c>
    </row>
    <row r="25" spans="1:21" ht="15.75" customHeight="1">
      <c r="A25" s="474" t="s">
        <v>25</v>
      </c>
      <c r="B25" s="896"/>
      <c r="C25" s="897"/>
      <c r="D25" s="899"/>
      <c r="E25" s="117"/>
      <c r="F25" s="117"/>
      <c r="G25" s="122"/>
      <c r="H25" s="929"/>
      <c r="I25" s="929"/>
      <c r="J25" s="929"/>
      <c r="K25" s="929"/>
      <c r="L25" s="929">
        <f t="shared" si="0"/>
        <v>0</v>
      </c>
      <c r="M25" s="912">
        <v>22189.42</v>
      </c>
      <c r="N25" s="106">
        <f>150*O25</f>
        <v>15000</v>
      </c>
      <c r="O25" s="822">
        <v>100</v>
      </c>
      <c r="P25" s="821"/>
      <c r="Q25" s="832">
        <v>349</v>
      </c>
      <c r="R25" s="835">
        <v>100</v>
      </c>
      <c r="S25" s="830">
        <f>Q25*R25</f>
        <v>34900</v>
      </c>
    </row>
    <row r="26" spans="1:21" ht="15.75" customHeight="1">
      <c r="A26" s="474" t="s">
        <v>370</v>
      </c>
      <c r="B26" s="896"/>
      <c r="C26" s="897"/>
      <c r="D26" s="899"/>
      <c r="E26" s="117"/>
      <c r="F26" s="117"/>
      <c r="G26" s="122"/>
      <c r="H26" s="929"/>
      <c r="I26" s="929"/>
      <c r="J26" s="929"/>
      <c r="K26" s="929"/>
      <c r="L26" s="929">
        <f t="shared" si="0"/>
        <v>0</v>
      </c>
      <c r="M26" s="929" t="s">
        <v>378</v>
      </c>
      <c r="N26" s="106"/>
      <c r="O26" s="822"/>
      <c r="P26" s="821"/>
      <c r="Q26" s="832">
        <v>1</v>
      </c>
      <c r="R26" s="835"/>
      <c r="S26" s="928">
        <f t="shared" ref="S26:S31" si="3">N26</f>
        <v>0</v>
      </c>
    </row>
    <row r="27" spans="1:21" ht="15.75" customHeight="1">
      <c r="A27" s="474" t="s">
        <v>371</v>
      </c>
      <c r="B27" s="896"/>
      <c r="C27" s="897"/>
      <c r="D27" s="899"/>
      <c r="E27" s="117"/>
      <c r="F27" s="117"/>
      <c r="G27" s="122"/>
      <c r="H27" s="929"/>
      <c r="I27" s="929"/>
      <c r="J27" s="929"/>
      <c r="K27" s="929"/>
      <c r="L27" s="929">
        <f t="shared" si="0"/>
        <v>0</v>
      </c>
      <c r="M27" s="929" t="s">
        <v>378</v>
      </c>
      <c r="N27" s="106"/>
      <c r="O27" s="822"/>
      <c r="P27" s="821"/>
      <c r="Q27" s="832"/>
      <c r="R27" s="835"/>
      <c r="S27" s="928">
        <f t="shared" si="3"/>
        <v>0</v>
      </c>
    </row>
    <row r="28" spans="1:21" ht="15.75" customHeight="1">
      <c r="A28" s="5" t="s">
        <v>373</v>
      </c>
      <c r="B28" s="901"/>
      <c r="C28" s="902"/>
      <c r="D28" s="903"/>
      <c r="E28" s="809"/>
      <c r="F28" s="809"/>
      <c r="G28" s="810"/>
      <c r="H28" s="929"/>
      <c r="I28" s="929"/>
      <c r="J28" s="929"/>
      <c r="K28" s="929"/>
      <c r="L28" s="929">
        <f t="shared" si="0"/>
        <v>0</v>
      </c>
      <c r="M28" s="929" t="s">
        <v>378</v>
      </c>
      <c r="N28" s="811"/>
      <c r="O28" s="822"/>
      <c r="P28" s="821"/>
      <c r="Q28" s="832"/>
      <c r="R28" s="835">
        <v>1750</v>
      </c>
      <c r="S28" s="928">
        <f>Q28*R28</f>
        <v>0</v>
      </c>
    </row>
    <row r="29" spans="1:21" ht="15.75" customHeight="1">
      <c r="A29" s="5" t="s">
        <v>374</v>
      </c>
      <c r="B29" s="901"/>
      <c r="C29" s="902"/>
      <c r="D29" s="903"/>
      <c r="E29" s="809"/>
      <c r="F29" s="809"/>
      <c r="G29" s="810"/>
      <c r="H29" s="929"/>
      <c r="I29" s="929"/>
      <c r="J29" s="929"/>
      <c r="K29" s="929"/>
      <c r="L29" s="929">
        <f t="shared" si="0"/>
        <v>0</v>
      </c>
      <c r="M29" s="929" t="s">
        <v>378</v>
      </c>
      <c r="N29" s="811"/>
      <c r="O29" s="822"/>
      <c r="P29" s="821"/>
      <c r="Q29" s="833"/>
      <c r="R29" s="832"/>
      <c r="S29" s="928">
        <f t="shared" si="3"/>
        <v>0</v>
      </c>
    </row>
    <row r="30" spans="1:21" ht="15.75" customHeight="1">
      <c r="A30" s="5" t="s">
        <v>375</v>
      </c>
      <c r="B30" s="901"/>
      <c r="C30" s="902"/>
      <c r="D30" s="903"/>
      <c r="E30" s="809"/>
      <c r="F30" s="809"/>
      <c r="G30" s="810"/>
      <c r="H30" s="929"/>
      <c r="I30" s="929"/>
      <c r="J30" s="929"/>
      <c r="K30" s="929"/>
      <c r="L30" s="929">
        <f t="shared" si="0"/>
        <v>0</v>
      </c>
      <c r="M30" s="912">
        <v>2288.88</v>
      </c>
      <c r="N30" s="811"/>
      <c r="O30" s="822"/>
      <c r="P30" s="821"/>
      <c r="Q30" s="833"/>
      <c r="R30" s="832"/>
      <c r="S30" s="830">
        <v>3600</v>
      </c>
    </row>
    <row r="31" spans="1:21" ht="15.75" customHeight="1">
      <c r="A31" s="5" t="s">
        <v>376</v>
      </c>
      <c r="B31" s="901"/>
      <c r="C31" s="902"/>
      <c r="D31" s="903"/>
      <c r="E31" s="809"/>
      <c r="F31" s="809"/>
      <c r="G31" s="810"/>
      <c r="H31" s="929"/>
      <c r="I31" s="929"/>
      <c r="J31" s="929"/>
      <c r="K31" s="929"/>
      <c r="L31" s="929">
        <f t="shared" si="0"/>
        <v>0</v>
      </c>
      <c r="M31" s="929" t="s">
        <v>378</v>
      </c>
      <c r="N31" s="811"/>
      <c r="O31" s="822"/>
      <c r="P31" s="821"/>
      <c r="Q31" s="833"/>
      <c r="R31" s="832"/>
      <c r="S31" s="928">
        <f t="shared" si="3"/>
        <v>0</v>
      </c>
    </row>
    <row r="32" spans="1:21" ht="15.75" customHeight="1">
      <c r="A32" s="5" t="s">
        <v>362</v>
      </c>
      <c r="B32" s="901"/>
      <c r="C32" s="902"/>
      <c r="D32" s="903"/>
      <c r="E32" s="809"/>
      <c r="F32" s="809"/>
      <c r="G32" s="810"/>
      <c r="H32" s="924">
        <f>'Site Cleaning'!G9</f>
        <v>127.2</v>
      </c>
      <c r="I32" s="916">
        <v>6358</v>
      </c>
      <c r="J32" s="914">
        <f>M32-I32-K32</f>
        <v>0</v>
      </c>
      <c r="K32" s="916">
        <v>0</v>
      </c>
      <c r="L32" s="929">
        <v>0</v>
      </c>
      <c r="M32" s="912">
        <v>6358</v>
      </c>
      <c r="N32" s="811"/>
      <c r="O32" s="822"/>
      <c r="P32" s="821"/>
      <c r="Q32" s="833"/>
      <c r="R32" s="832"/>
      <c r="S32" s="959">
        <v>10000</v>
      </c>
    </row>
    <row r="33" spans="1:19" ht="15.75" customHeight="1" thickBot="1">
      <c r="A33" s="823" t="s">
        <v>377</v>
      </c>
      <c r="B33" s="824"/>
      <c r="C33" s="825"/>
      <c r="D33" s="826"/>
      <c r="E33" s="827"/>
      <c r="F33" s="827"/>
      <c r="G33" s="828"/>
      <c r="H33" s="925"/>
      <c r="I33" s="917"/>
      <c r="J33" s="917"/>
      <c r="K33" s="917"/>
      <c r="L33" s="912">
        <f t="shared" si="0"/>
        <v>0</v>
      </c>
      <c r="M33" s="912">
        <v>13585.23</v>
      </c>
      <c r="N33" s="829">
        <f>SUM(N5:N31)*O33</f>
        <v>19613.019449386262</v>
      </c>
      <c r="O33" s="884">
        <v>0.01</v>
      </c>
      <c r="P33" s="821"/>
      <c r="Q33" s="832"/>
      <c r="R33" s="832"/>
      <c r="S33" s="830">
        <f>N33</f>
        <v>19613.019449386262</v>
      </c>
    </row>
    <row r="34" spans="1:19" ht="15.75" customHeight="1" thickBot="1">
      <c r="A34" s="110"/>
      <c r="B34" s="111"/>
      <c r="C34" s="904"/>
      <c r="D34" s="905"/>
      <c r="E34" s="906"/>
      <c r="F34" s="119"/>
      <c r="G34" s="124" t="s">
        <v>26</v>
      </c>
      <c r="H34" s="926"/>
      <c r="I34" s="918"/>
      <c r="J34" s="918"/>
      <c r="K34" s="918"/>
      <c r="L34" s="918"/>
      <c r="M34" s="112">
        <f>SUM(M5:M33)</f>
        <v>1432168.5899999999</v>
      </c>
      <c r="N34" s="112">
        <f>SUM(N5:N33)</f>
        <v>1980914.9643880124</v>
      </c>
      <c r="O34" s="819"/>
      <c r="P34" s="820"/>
      <c r="Q34" s="834"/>
      <c r="R34" s="832"/>
      <c r="S34" s="831">
        <f>SUM(S5:S33)</f>
        <v>2250791.6194493864</v>
      </c>
    </row>
    <row r="35" spans="1:19" s="5" customFormat="1" ht="15.75" customHeight="1">
      <c r="C35" s="889"/>
      <c r="D35" s="889"/>
      <c r="E35" s="95"/>
      <c r="F35" s="95"/>
      <c r="G35" s="95"/>
      <c r="H35" s="927"/>
      <c r="I35" s="95">
        <f>SUM(I5:I34)</f>
        <v>158592.9</v>
      </c>
      <c r="J35" s="95"/>
      <c r="K35" s="95"/>
      <c r="L35" s="95"/>
      <c r="M35" s="125"/>
      <c r="N35" s="107"/>
      <c r="O35" s="107"/>
      <c r="P35" s="96"/>
    </row>
    <row r="36" spans="1:19" s="5" customFormat="1" ht="15.75" customHeight="1">
      <c r="B36" s="101"/>
      <c r="C36" s="889"/>
      <c r="D36" s="889"/>
      <c r="E36" s="95"/>
      <c r="F36" s="95"/>
      <c r="G36" s="95"/>
      <c r="H36" s="927"/>
      <c r="I36" s="95"/>
      <c r="J36" s="95"/>
      <c r="K36" s="95"/>
      <c r="L36" s="95"/>
      <c r="M36" s="125"/>
      <c r="N36" s="843">
        <f>(N34-M34)/M34</f>
        <v>0.38315766608735125</v>
      </c>
      <c r="O36" s="807" t="s">
        <v>27</v>
      </c>
      <c r="P36" s="96"/>
      <c r="S36" s="843">
        <f>(S34-M34)/M34</f>
        <v>0.57159683235992953</v>
      </c>
    </row>
    <row r="37" spans="1:19" s="5" customFormat="1" ht="15.75" customHeight="1">
      <c r="B37" s="99"/>
      <c r="C37" s="889"/>
      <c r="D37" s="889"/>
      <c r="E37" s="95"/>
      <c r="F37" s="95"/>
      <c r="G37" s="95"/>
      <c r="H37" s="927"/>
      <c r="I37" s="95"/>
      <c r="J37" s="95"/>
      <c r="K37" s="95"/>
      <c r="L37" s="95"/>
      <c r="M37" s="125"/>
      <c r="N37" s="843">
        <f>1-(M34/N34)</f>
        <v>0.27701662325396348</v>
      </c>
      <c r="O37" s="807" t="s">
        <v>28</v>
      </c>
      <c r="P37" s="96"/>
      <c r="S37" s="843">
        <f>1-(M34/S34)</f>
        <v>0.36370449506545044</v>
      </c>
    </row>
    <row r="38" spans="1:19" s="5" customFormat="1" ht="15.75" customHeight="1">
      <c r="B38" s="99"/>
      <c r="C38" s="889"/>
      <c r="D38" s="889"/>
      <c r="E38" s="95"/>
      <c r="F38" s="95"/>
      <c r="G38" s="95"/>
      <c r="H38" s="927"/>
      <c r="I38" s="95"/>
      <c r="J38" s="95"/>
      <c r="K38" s="95"/>
      <c r="L38" s="95"/>
      <c r="M38" s="125"/>
      <c r="N38" s="107"/>
      <c r="P38" s="96"/>
    </row>
    <row r="39" spans="1:19" s="5" customFormat="1" ht="15.75" customHeight="1">
      <c r="B39" s="100"/>
      <c r="C39" s="889"/>
      <c r="D39" s="889"/>
      <c r="E39" s="95"/>
      <c r="F39" s="95"/>
      <c r="G39" s="95"/>
      <c r="H39" s="927"/>
      <c r="I39" s="95"/>
      <c r="J39" s="95"/>
      <c r="K39" s="95"/>
      <c r="L39" s="95"/>
      <c r="M39" s="125"/>
      <c r="N39" s="108"/>
      <c r="O39" s="108"/>
      <c r="P39" s="95"/>
    </row>
    <row r="40" spans="1:19" s="5" customFormat="1" ht="15.75" customHeight="1">
      <c r="C40" s="889"/>
      <c r="D40" s="889"/>
      <c r="E40" s="95"/>
      <c r="F40" s="95"/>
      <c r="G40" s="95"/>
      <c r="H40" s="927"/>
      <c r="I40" s="95"/>
      <c r="J40" s="95"/>
      <c r="K40" s="95"/>
      <c r="L40" s="95"/>
      <c r="M40" s="125"/>
      <c r="N40" s="108"/>
      <c r="O40" s="108"/>
      <c r="P40" s="95"/>
    </row>
    <row r="41" spans="1:19" s="5" customFormat="1" ht="15.75" customHeight="1">
      <c r="C41" s="889"/>
      <c r="D41" s="889"/>
      <c r="E41" s="95"/>
      <c r="F41" s="95"/>
      <c r="G41" s="95"/>
      <c r="H41" s="927"/>
      <c r="I41" s="95"/>
      <c r="J41" s="95"/>
      <c r="K41" s="95"/>
      <c r="L41" s="95"/>
      <c r="M41" s="125"/>
      <c r="N41" s="108"/>
      <c r="O41" s="108"/>
      <c r="P41" s="95"/>
    </row>
    <row r="42" spans="1:19" s="5" customFormat="1" ht="15.75" customHeight="1">
      <c r="C42" s="889"/>
      <c r="D42" s="889"/>
      <c r="E42" s="95"/>
      <c r="F42" s="95"/>
      <c r="G42" s="95"/>
      <c r="H42" s="927"/>
      <c r="I42" s="95"/>
      <c r="J42" s="95"/>
      <c r="K42" s="95"/>
      <c r="L42" s="95"/>
      <c r="M42" s="125"/>
      <c r="N42" s="108"/>
      <c r="O42" s="108"/>
      <c r="P42" s="95"/>
    </row>
    <row r="43" spans="1:19" s="5" customFormat="1" ht="15.75" customHeight="1">
      <c r="C43" s="889"/>
      <c r="D43" s="889"/>
      <c r="E43" s="95"/>
      <c r="F43" s="95"/>
      <c r="G43" s="95"/>
      <c r="H43" s="927"/>
      <c r="I43" s="95"/>
      <c r="J43" s="95"/>
      <c r="K43" s="95"/>
      <c r="L43" s="95"/>
      <c r="M43" s="125"/>
      <c r="N43" s="108"/>
      <c r="O43" s="108"/>
      <c r="P43" s="95"/>
    </row>
    <row r="44" spans="1:19" s="5" customFormat="1" ht="15.75" customHeight="1">
      <c r="B44" s="99"/>
      <c r="C44" s="889"/>
      <c r="D44" s="889"/>
      <c r="E44" s="95"/>
      <c r="F44" s="95"/>
      <c r="G44" s="95"/>
      <c r="H44" s="927"/>
      <c r="I44" s="95"/>
      <c r="J44" s="95"/>
      <c r="K44" s="95"/>
      <c r="L44" s="95"/>
      <c r="M44" s="125"/>
      <c r="N44" s="108"/>
      <c r="O44" s="108"/>
      <c r="P44" s="95"/>
    </row>
    <row r="45" spans="1:19" s="5" customFormat="1" ht="15.75" customHeight="1">
      <c r="B45" s="99"/>
      <c r="C45" s="889"/>
      <c r="D45" s="889"/>
      <c r="E45" s="95"/>
      <c r="F45" s="95"/>
      <c r="G45" s="95"/>
      <c r="H45" s="927"/>
      <c r="I45" s="95"/>
      <c r="J45" s="95"/>
      <c r="K45" s="95"/>
      <c r="L45" s="95"/>
      <c r="M45" s="125"/>
      <c r="N45" s="108"/>
      <c r="O45" s="108"/>
      <c r="P45" s="95"/>
    </row>
    <row r="46" spans="1:19" ht="15.75" customHeight="1">
      <c r="B46" s="5"/>
      <c r="C46" s="889"/>
      <c r="D46" s="907"/>
      <c r="E46" s="113"/>
    </row>
    <row r="47" spans="1:19" ht="19.95" customHeight="1">
      <c r="B47" s="5"/>
      <c r="C47" s="889"/>
      <c r="D47" s="907"/>
      <c r="E47" s="113"/>
    </row>
    <row r="48" spans="1:19" ht="15.75" customHeight="1">
      <c r="B48" s="5"/>
      <c r="C48" s="889"/>
      <c r="D48" s="907"/>
      <c r="E48" s="113"/>
    </row>
    <row r="49" spans="2:2" ht="15.75" customHeight="1">
      <c r="B49" s="5"/>
    </row>
    <row r="50" spans="2:2" ht="15.75" customHeight="1">
      <c r="B50" s="99"/>
    </row>
    <row r="51" spans="2:2" ht="15.75" customHeight="1">
      <c r="B51" s="99"/>
    </row>
    <row r="52" spans="2:2" ht="15.75" customHeight="1">
      <c r="B52" s="99"/>
    </row>
    <row r="53" spans="2:2" ht="15.75" customHeight="1">
      <c r="B53" s="5"/>
    </row>
    <row r="54" spans="2:2" ht="15.75" customHeight="1">
      <c r="B54" s="5"/>
    </row>
    <row r="55" spans="2:2" ht="15.75" customHeight="1">
      <c r="B55" s="5"/>
    </row>
    <row r="56" spans="2:2" ht="15.75" customHeight="1">
      <c r="B56" s="5"/>
    </row>
    <row r="57" spans="2:2" ht="15.75" customHeight="1">
      <c r="B57" s="5"/>
    </row>
    <row r="58" spans="2:2" ht="15.75" customHeight="1">
      <c r="B58" s="5"/>
    </row>
    <row r="59" spans="2:2" ht="15.75" customHeight="1">
      <c r="B59" s="5"/>
    </row>
    <row r="60" spans="2:2" ht="15.75" customHeight="1">
      <c r="B60" s="5"/>
    </row>
    <row r="61" spans="2:2" ht="15.75" customHeight="1">
      <c r="B61" s="5"/>
    </row>
    <row r="62" spans="2:2" ht="15.75" customHeight="1">
      <c r="B62" s="5"/>
    </row>
  </sheetData>
  <mergeCells count="4">
    <mergeCell ref="N1:Q1"/>
    <mergeCell ref="N2:Q2"/>
    <mergeCell ref="N3:Q3"/>
    <mergeCell ref="Q4:R4"/>
  </mergeCells>
  <phoneticPr fontId="10" type="noConversion"/>
  <conditionalFormatting sqref="N36:O37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rintOptions horizontalCentered="1"/>
  <pageMargins left="0.27559055118110237" right="7.874015748031496E-2" top="0.39370078740157483" bottom="0.51181102362204722" header="0" footer="0.19685039370078741"/>
  <pageSetup paperSize="9" scale="85" fitToHeight="0" orientation="portrait" r:id="rId1"/>
  <headerFooter alignWithMargins="0">
    <oddFooter xml:space="preserve">&amp;L&amp;"Arial Narrow,Regular"&amp;8&amp;F Issue 1/- &amp;D                                    &amp;C&amp;"Arial,Regular"&amp;10&amp;P&amp;R&amp;"Arial Narrow,Regular" &amp;"TimesNewRomanPS,Regular"     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I60"/>
  <sheetViews>
    <sheetView view="pageBreakPreview" topLeftCell="A16" zoomScale="75" zoomScaleNormal="75" zoomScaleSheetLayoutView="75" workbookViewId="0">
      <selection activeCell="M50" sqref="M50"/>
    </sheetView>
  </sheetViews>
  <sheetFormatPr defaultRowHeight="15.6"/>
  <cols>
    <col min="1" max="1" width="18.59765625" customWidth="1"/>
    <col min="3" max="3" width="24.09765625" customWidth="1"/>
    <col min="4" max="6" width="9" style="485" customWidth="1"/>
    <col min="7" max="7" width="11.3984375" style="192" customWidth="1"/>
    <col min="8" max="8" width="10.69921875" style="259" bestFit="1" customWidth="1"/>
    <col min="9" max="9" width="11.59765625" bestFit="1" customWidth="1"/>
    <col min="12" max="12" width="10.69921875" bestFit="1" customWidth="1"/>
    <col min="13" max="13" width="12" customWidth="1"/>
    <col min="14" max="14" width="10.59765625" bestFit="1" customWidth="1"/>
    <col min="15" max="16" width="11.09765625" bestFit="1" customWidth="1"/>
    <col min="17" max="17" width="14.8984375" bestFit="1" customWidth="1"/>
    <col min="18" max="18" width="9.59765625" customWidth="1"/>
    <col min="21" max="21" width="18.8984375" customWidth="1"/>
    <col min="22" max="22" width="13.69921875" customWidth="1"/>
    <col min="23" max="23" width="8.19921875" bestFit="1" customWidth="1"/>
    <col min="24" max="25" width="9.3984375" bestFit="1" customWidth="1"/>
    <col min="26" max="26" width="9.09765625" bestFit="1" customWidth="1"/>
    <col min="27" max="27" width="9.3984375" bestFit="1" customWidth="1"/>
    <col min="28" max="28" width="17.8984375" bestFit="1" customWidth="1"/>
    <col min="29" max="30" width="9.3984375" bestFit="1" customWidth="1"/>
    <col min="31" max="35" width="9.09765625" bestFit="1" customWidth="1"/>
    <col min="37" max="37" width="15.19921875" customWidth="1"/>
  </cols>
  <sheetData>
    <row r="1" spans="1:35">
      <c r="A1" s="94" t="s">
        <v>0</v>
      </c>
      <c r="B1" s="128"/>
      <c r="C1" s="54"/>
      <c r="D1" s="486"/>
      <c r="E1" s="486"/>
      <c r="F1" s="486"/>
      <c r="G1" s="80"/>
      <c r="H1" s="478"/>
      <c r="I1" s="50"/>
      <c r="J1" s="47"/>
      <c r="K1" s="937" t="str">
        <f>SUMMARY!N1</f>
        <v>PROPOSED BUILDING WORKS</v>
      </c>
      <c r="L1" s="937"/>
      <c r="M1" s="937"/>
      <c r="N1" s="2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</row>
    <row r="2" spans="1:35">
      <c r="A2" s="94">
        <f>SUMMARY!A2</f>
        <v>0</v>
      </c>
      <c r="B2" s="128"/>
      <c r="C2" s="54"/>
      <c r="D2" s="486"/>
      <c r="E2" s="486"/>
      <c r="F2" s="486"/>
      <c r="G2" s="80"/>
      <c r="H2" s="478"/>
      <c r="I2" s="50"/>
      <c r="J2" s="47"/>
      <c r="K2" s="47"/>
      <c r="L2" s="47"/>
      <c r="M2" s="53" t="str">
        <f>SUMMARY!N2</f>
        <v>261-263 Balwyn Road, Balwyn North</v>
      </c>
      <c r="N2" s="2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</row>
    <row r="3" spans="1:35">
      <c r="A3" s="49"/>
      <c r="B3" s="128"/>
      <c r="C3" s="54"/>
      <c r="D3" s="486"/>
      <c r="E3" s="486"/>
      <c r="F3" s="486"/>
      <c r="G3" s="80"/>
      <c r="H3" s="478"/>
      <c r="I3" s="50"/>
      <c r="J3" s="47"/>
      <c r="K3" s="47"/>
      <c r="L3" s="47"/>
      <c r="M3" s="51" t="str">
        <f>SUMMARY!N3</f>
        <v>ESTIMATE - V1</v>
      </c>
      <c r="N3" s="22"/>
      <c r="O3" s="52"/>
      <c r="P3" s="52"/>
      <c r="Q3" s="52"/>
      <c r="R3" s="52"/>
      <c r="S3" s="52"/>
      <c r="T3" s="52"/>
      <c r="X3" s="37"/>
      <c r="Y3" s="37"/>
      <c r="Z3" s="37"/>
      <c r="AA3" s="52"/>
    </row>
    <row r="4" spans="1:35">
      <c r="A4" s="102" t="s">
        <v>98</v>
      </c>
      <c r="B4" s="129" t="s">
        <v>99</v>
      </c>
      <c r="C4" s="55"/>
      <c r="D4" s="482" t="s">
        <v>100</v>
      </c>
      <c r="E4" s="482" t="s">
        <v>101</v>
      </c>
      <c r="F4" s="482" t="s">
        <v>102</v>
      </c>
      <c r="G4" s="58" t="s">
        <v>103</v>
      </c>
      <c r="H4" s="518" t="s">
        <v>104</v>
      </c>
      <c r="I4" s="59" t="s">
        <v>105</v>
      </c>
      <c r="J4" s="60" t="s">
        <v>106</v>
      </c>
      <c r="K4" s="60" t="s">
        <v>107</v>
      </c>
      <c r="L4" s="154" t="s">
        <v>108</v>
      </c>
      <c r="M4" s="154" t="s">
        <v>109</v>
      </c>
      <c r="N4" s="144" t="s">
        <v>108</v>
      </c>
      <c r="O4" s="144" t="s">
        <v>109</v>
      </c>
      <c r="P4" s="32"/>
      <c r="Q4" s="32"/>
      <c r="R4" s="32"/>
      <c r="S4" s="32"/>
      <c r="T4" s="32"/>
      <c r="U4" s="199"/>
      <c r="V4" s="199"/>
      <c r="W4" s="189"/>
      <c r="X4" s="198"/>
      <c r="Y4" s="627"/>
      <c r="Z4" s="199"/>
      <c r="AA4" s="199"/>
      <c r="AB4" s="199"/>
      <c r="AC4" s="199"/>
      <c r="AD4" s="199"/>
      <c r="AE4" s="199"/>
      <c r="AF4" s="199"/>
      <c r="AG4" s="199"/>
      <c r="AH4" s="183"/>
      <c r="AI4" s="206"/>
    </row>
    <row r="5" spans="1:35" ht="15.45" customHeight="1">
      <c r="A5" s="89"/>
      <c r="B5" s="133"/>
      <c r="C5" s="43"/>
      <c r="D5" s="486"/>
      <c r="E5" s="486"/>
      <c r="F5" s="486"/>
      <c r="G5" s="240"/>
      <c r="H5" s="520"/>
      <c r="I5" s="35"/>
      <c r="J5" s="36"/>
      <c r="K5" s="36"/>
      <c r="L5" s="272"/>
      <c r="M5" s="160"/>
      <c r="N5" s="149"/>
      <c r="O5" s="273"/>
      <c r="P5" s="22"/>
      <c r="Q5" s="22"/>
      <c r="R5" s="22"/>
      <c r="S5" s="22"/>
      <c r="U5" s="183"/>
      <c r="X5" s="37"/>
      <c r="Y5" s="41"/>
      <c r="Z5" s="41"/>
      <c r="AA5" s="41"/>
    </row>
    <row r="6" spans="1:35" ht="15.75" customHeight="1">
      <c r="A6" s="91">
        <v>6</v>
      </c>
      <c r="B6" s="23" t="s">
        <v>287</v>
      </c>
      <c r="C6" s="16"/>
      <c r="D6" s="483"/>
      <c r="E6" s="483"/>
      <c r="F6" s="483"/>
      <c r="G6" s="33"/>
      <c r="H6" s="520"/>
      <c r="I6" s="17"/>
      <c r="J6" s="20"/>
      <c r="K6" s="20"/>
      <c r="L6" s="460"/>
      <c r="M6" s="158"/>
      <c r="N6" s="149"/>
      <c r="O6" s="267"/>
      <c r="P6" s="41"/>
      <c r="Q6" s="41"/>
      <c r="R6" s="41"/>
      <c r="S6" s="22"/>
      <c r="U6" s="183"/>
      <c r="X6" s="37"/>
      <c r="Y6" s="37"/>
      <c r="Z6" s="37"/>
      <c r="AA6" s="41"/>
    </row>
    <row r="7" spans="1:35" ht="15.75" customHeight="1">
      <c r="A7" s="88"/>
      <c r="B7" s="131"/>
      <c r="C7" s="942" t="s">
        <v>288</v>
      </c>
      <c r="D7" s="942"/>
      <c r="E7" s="942"/>
      <c r="F7" s="955"/>
      <c r="G7" s="33" t="s">
        <v>10</v>
      </c>
      <c r="H7" s="554">
        <f>ROUNDUP(H19,0)</f>
        <v>142</v>
      </c>
      <c r="I7" s="35"/>
      <c r="J7" s="36"/>
      <c r="K7" s="36"/>
      <c r="L7" s="245">
        <v>50</v>
      </c>
      <c r="M7" s="156">
        <f>H7*L7</f>
        <v>7100</v>
      </c>
      <c r="N7" s="149">
        <f>L7*1.5</f>
        <v>75</v>
      </c>
      <c r="O7" s="273">
        <f>N7*H7</f>
        <v>10650</v>
      </c>
      <c r="P7" s="41"/>
      <c r="Q7" s="41"/>
      <c r="R7" s="41"/>
      <c r="S7" s="22"/>
      <c r="U7" s="183"/>
      <c r="X7" s="37"/>
      <c r="Y7" s="41"/>
      <c r="Z7" s="41"/>
      <c r="AA7" s="41"/>
    </row>
    <row r="8" spans="1:35">
      <c r="A8" s="89"/>
      <c r="B8" s="133"/>
      <c r="C8" s="43" t="s">
        <v>289</v>
      </c>
      <c r="D8" s="726">
        <v>11.5</v>
      </c>
      <c r="E8" s="726">
        <v>0.4</v>
      </c>
      <c r="F8" s="714">
        <v>0.4</v>
      </c>
      <c r="G8" s="240">
        <v>1</v>
      </c>
      <c r="H8" s="533">
        <f>D8*E8*F8</f>
        <v>1.8400000000000003</v>
      </c>
      <c r="I8" s="35"/>
      <c r="J8" s="36"/>
      <c r="L8" s="272"/>
      <c r="M8" s="160"/>
      <c r="N8" s="149"/>
      <c r="O8" s="273"/>
      <c r="P8" s="41"/>
      <c r="Q8" s="41"/>
      <c r="R8" s="41"/>
      <c r="S8" s="22"/>
      <c r="U8" s="183"/>
      <c r="X8" s="37"/>
      <c r="Y8" s="41"/>
      <c r="Z8" s="41"/>
      <c r="AA8" s="41"/>
    </row>
    <row r="9" spans="1:35">
      <c r="A9" s="89"/>
      <c r="B9" s="133"/>
      <c r="C9" s="43" t="s">
        <v>290</v>
      </c>
      <c r="D9" s="726">
        <v>9</v>
      </c>
      <c r="E9" s="726">
        <v>1.6</v>
      </c>
      <c r="F9" s="714">
        <v>0.6</v>
      </c>
      <c r="G9" s="240">
        <v>1</v>
      </c>
      <c r="H9" s="533">
        <f>G9*D9*E9*F9</f>
        <v>8.64</v>
      </c>
      <c r="I9" s="35"/>
      <c r="J9" s="36"/>
      <c r="L9" s="272"/>
      <c r="M9" s="160"/>
      <c r="N9" s="149"/>
      <c r="O9" s="273"/>
      <c r="P9" s="37"/>
      <c r="Q9" s="37"/>
      <c r="R9" s="37"/>
      <c r="S9" s="22"/>
      <c r="U9" s="183"/>
      <c r="X9" s="37"/>
      <c r="Y9" s="41"/>
      <c r="Z9" s="41"/>
      <c r="AA9" s="41"/>
    </row>
    <row r="10" spans="1:35">
      <c r="A10" s="89"/>
      <c r="B10" s="133"/>
      <c r="C10" s="43" t="s">
        <v>291</v>
      </c>
      <c r="D10" s="726">
        <v>93</v>
      </c>
      <c r="E10" s="726">
        <v>0.6</v>
      </c>
      <c r="F10" s="714">
        <v>0.6</v>
      </c>
      <c r="G10" s="240">
        <v>1</v>
      </c>
      <c r="H10" s="533">
        <f t="shared" ref="H10:H18" si="0">G10*D10*E10*F10</f>
        <v>33.479999999999997</v>
      </c>
      <c r="I10" s="35"/>
      <c r="J10" s="36"/>
      <c r="L10" s="272"/>
      <c r="M10" s="160"/>
      <c r="N10" s="149"/>
      <c r="O10" s="273"/>
      <c r="P10" s="37"/>
      <c r="Q10" s="37"/>
      <c r="R10" s="37"/>
      <c r="S10" s="22"/>
      <c r="U10" s="183"/>
      <c r="X10" s="37"/>
      <c r="Y10" s="41"/>
      <c r="Z10" s="41"/>
      <c r="AA10" s="41"/>
    </row>
    <row r="11" spans="1:35">
      <c r="A11" s="89"/>
      <c r="B11" s="133"/>
      <c r="C11" s="43" t="s">
        <v>292</v>
      </c>
      <c r="D11" s="726">
        <v>8</v>
      </c>
      <c r="E11" s="726">
        <v>2.1</v>
      </c>
      <c r="F11" s="714">
        <v>0.6</v>
      </c>
      <c r="G11" s="240">
        <v>1</v>
      </c>
      <c r="H11" s="533">
        <f t="shared" si="0"/>
        <v>10.08</v>
      </c>
      <c r="I11" s="35"/>
      <c r="J11" s="36"/>
      <c r="L11" s="272"/>
      <c r="M11" s="160"/>
      <c r="N11" s="145"/>
      <c r="O11" s="267"/>
      <c r="P11" s="41"/>
      <c r="Q11" s="41"/>
      <c r="R11" s="41"/>
      <c r="S11" s="22"/>
      <c r="U11" s="183"/>
      <c r="X11" s="37"/>
      <c r="Y11" s="41"/>
      <c r="Z11" s="41"/>
      <c r="AA11" s="41"/>
    </row>
    <row r="12" spans="1:35">
      <c r="A12" s="89"/>
      <c r="B12" s="133"/>
      <c r="C12" s="43" t="s">
        <v>293</v>
      </c>
      <c r="D12" s="726">
        <v>2</v>
      </c>
      <c r="E12" s="726">
        <v>1.2</v>
      </c>
      <c r="F12" s="714">
        <v>0.6</v>
      </c>
      <c r="G12" s="614">
        <v>9</v>
      </c>
      <c r="H12" s="533">
        <f>G12*D12*E12*F12</f>
        <v>12.959999999999999</v>
      </c>
      <c r="I12" s="35"/>
      <c r="J12" s="36"/>
      <c r="L12" s="159"/>
      <c r="M12" s="160"/>
      <c r="N12" s="149"/>
      <c r="O12" s="146"/>
      <c r="P12" s="41"/>
      <c r="Q12" s="41"/>
      <c r="R12" s="41"/>
      <c r="S12" s="37"/>
      <c r="X12" s="41"/>
      <c r="Y12" s="41"/>
      <c r="Z12" s="41"/>
      <c r="AA12" s="41"/>
    </row>
    <row r="13" spans="1:35">
      <c r="A13" s="89"/>
      <c r="B13" s="133"/>
      <c r="C13" s="43" t="s">
        <v>294</v>
      </c>
      <c r="D13" s="726">
        <v>2.2000000000000002</v>
      </c>
      <c r="E13" s="726">
        <v>1.4</v>
      </c>
      <c r="F13" s="714">
        <v>0.6</v>
      </c>
      <c r="G13" s="614">
        <v>6</v>
      </c>
      <c r="H13" s="533">
        <f t="shared" ref="H13:H15" si="1">G13*D13*E13*F13</f>
        <v>11.087999999999999</v>
      </c>
      <c r="I13" s="35"/>
      <c r="J13" s="36"/>
      <c r="L13" s="159"/>
      <c r="M13" s="160"/>
      <c r="N13" s="149"/>
      <c r="O13" s="150"/>
      <c r="P13" s="37"/>
      <c r="Q13" s="37"/>
      <c r="R13" s="37"/>
      <c r="S13" s="37"/>
      <c r="X13" s="41"/>
      <c r="Y13" s="41"/>
      <c r="Z13" s="41"/>
    </row>
    <row r="14" spans="1:35">
      <c r="A14" s="89"/>
      <c r="B14" s="133"/>
      <c r="C14" s="43" t="s">
        <v>272</v>
      </c>
      <c r="D14" s="726">
        <v>6.75</v>
      </c>
      <c r="E14" s="726">
        <v>3.35</v>
      </c>
      <c r="F14" s="714">
        <v>0.4</v>
      </c>
      <c r="G14" s="614">
        <v>1</v>
      </c>
      <c r="H14" s="533">
        <f>D14*E14*F14</f>
        <v>9.0449999999999999</v>
      </c>
      <c r="I14" s="35"/>
      <c r="J14" s="36"/>
      <c r="L14" s="159"/>
      <c r="M14" s="160"/>
      <c r="N14" s="149"/>
      <c r="O14" s="150"/>
      <c r="P14" s="41"/>
      <c r="Q14" s="41"/>
      <c r="R14" s="41"/>
      <c r="S14" s="22"/>
      <c r="X14" s="41"/>
      <c r="Y14" s="41"/>
      <c r="Z14" s="41"/>
    </row>
    <row r="15" spans="1:35">
      <c r="A15" s="89"/>
      <c r="B15" s="133"/>
      <c r="C15" s="43" t="s">
        <v>295</v>
      </c>
      <c r="D15" s="726">
        <v>8.5</v>
      </c>
      <c r="E15" s="726">
        <v>0.8</v>
      </c>
      <c r="F15" s="714">
        <v>0.3</v>
      </c>
      <c r="G15" s="614">
        <v>1</v>
      </c>
      <c r="H15" s="533">
        <f t="shared" si="1"/>
        <v>2.04</v>
      </c>
      <c r="I15" s="35"/>
      <c r="J15" s="36"/>
      <c r="L15" s="159"/>
      <c r="M15" s="160"/>
      <c r="N15" s="149"/>
      <c r="O15" s="150"/>
      <c r="P15" s="41"/>
      <c r="Q15" s="41"/>
      <c r="R15" s="41"/>
      <c r="S15" s="22"/>
      <c r="X15" s="41"/>
      <c r="Y15" s="41"/>
      <c r="Z15" s="41"/>
    </row>
    <row r="16" spans="1:35">
      <c r="A16" s="89"/>
      <c r="B16" s="133"/>
      <c r="C16" s="43" t="s">
        <v>296</v>
      </c>
      <c r="D16" s="726">
        <v>35</v>
      </c>
      <c r="E16" s="726">
        <v>0.8</v>
      </c>
      <c r="F16" s="714">
        <v>0.4</v>
      </c>
      <c r="G16" s="240">
        <v>1</v>
      </c>
      <c r="H16" s="533">
        <f>G16*D16*E16*F16</f>
        <v>11.200000000000001</v>
      </c>
      <c r="I16" s="35"/>
      <c r="J16" s="36"/>
      <c r="L16" s="159"/>
      <c r="M16" s="160"/>
      <c r="N16" s="149"/>
      <c r="O16" s="150"/>
      <c r="P16" s="41"/>
      <c r="Q16" s="41"/>
      <c r="R16" s="41"/>
      <c r="S16" s="22"/>
      <c r="X16" s="41"/>
      <c r="Y16" s="41"/>
      <c r="Z16" s="41"/>
    </row>
    <row r="17" spans="1:26">
      <c r="A17" s="89"/>
      <c r="B17" s="133"/>
      <c r="C17" s="43" t="s">
        <v>297</v>
      </c>
      <c r="D17" s="726">
        <v>68</v>
      </c>
      <c r="E17" s="726">
        <v>1.5</v>
      </c>
      <c r="F17" s="726">
        <v>0.4</v>
      </c>
      <c r="G17" s="240">
        <v>1</v>
      </c>
      <c r="H17" s="533">
        <f t="shared" si="0"/>
        <v>40.800000000000004</v>
      </c>
      <c r="I17" s="35"/>
      <c r="J17" s="36"/>
      <c r="K17" s="256"/>
      <c r="L17" s="159"/>
      <c r="M17" s="160"/>
      <c r="N17" s="149"/>
      <c r="O17" s="150">
        <f>M17*1.5</f>
        <v>0</v>
      </c>
      <c r="P17" s="41"/>
      <c r="Q17" s="41"/>
      <c r="R17" s="41"/>
      <c r="S17" s="22"/>
      <c r="X17" s="41"/>
      <c r="Y17" s="41"/>
      <c r="Z17" s="41"/>
    </row>
    <row r="18" spans="1:26">
      <c r="A18" s="89"/>
      <c r="B18" s="133"/>
      <c r="C18" s="43"/>
      <c r="D18" s="726"/>
      <c r="E18" s="726"/>
      <c r="F18" s="726"/>
      <c r="G18" s="240">
        <v>1</v>
      </c>
      <c r="H18" s="533">
        <f t="shared" si="0"/>
        <v>0</v>
      </c>
      <c r="I18" s="35"/>
      <c r="J18" s="36"/>
      <c r="K18" s="256"/>
      <c r="L18" s="159"/>
      <c r="M18" s="160"/>
      <c r="N18" s="149"/>
      <c r="O18" s="150"/>
      <c r="P18" s="41"/>
      <c r="Q18" s="41"/>
      <c r="R18" s="41"/>
      <c r="S18" s="22"/>
      <c r="X18" s="41"/>
      <c r="Y18" s="41"/>
      <c r="Z18" s="41"/>
    </row>
    <row r="19" spans="1:26" ht="16.2" thickBot="1">
      <c r="A19" s="89"/>
      <c r="B19" s="133"/>
      <c r="C19" s="43"/>
      <c r="D19" s="486"/>
      <c r="E19" s="486"/>
      <c r="F19" s="486"/>
      <c r="G19" s="240"/>
      <c r="H19" s="556">
        <f>SUM(H8:H18)</f>
        <v>141.173</v>
      </c>
      <c r="I19" s="35"/>
      <c r="J19" s="36"/>
      <c r="K19" s="36"/>
      <c r="L19" s="159"/>
      <c r="M19" s="160"/>
      <c r="N19" s="149"/>
      <c r="O19" s="146"/>
      <c r="P19" s="41"/>
      <c r="Q19" s="41"/>
      <c r="R19" s="41"/>
      <c r="S19" s="41"/>
      <c r="X19" s="41"/>
      <c r="Y19" s="41"/>
      <c r="Z19" s="41"/>
    </row>
    <row r="20" spans="1:26" ht="16.2" thickTop="1">
      <c r="A20" s="89"/>
      <c r="B20" s="133"/>
      <c r="C20" s="43"/>
      <c r="D20" s="486"/>
      <c r="E20" s="486"/>
      <c r="F20" s="486"/>
      <c r="G20" s="240"/>
      <c r="H20" s="520"/>
      <c r="I20" s="35"/>
      <c r="J20" s="36"/>
      <c r="K20" s="36"/>
      <c r="L20" s="159"/>
      <c r="M20" s="160"/>
      <c r="N20" s="149"/>
      <c r="O20" s="146"/>
      <c r="P20" s="41"/>
      <c r="Q20" s="41"/>
      <c r="R20" s="41"/>
      <c r="S20" s="41"/>
      <c r="X20" s="41"/>
      <c r="Y20" s="41"/>
      <c r="Z20" s="41"/>
    </row>
    <row r="21" spans="1:26" ht="16.2" thickBot="1">
      <c r="A21" s="89"/>
      <c r="B21" s="133"/>
      <c r="C21" s="956" t="s">
        <v>155</v>
      </c>
      <c r="D21" s="956"/>
      <c r="E21" s="956"/>
      <c r="F21" s="956"/>
      <c r="G21" s="297"/>
      <c r="H21" s="520"/>
      <c r="I21" s="35"/>
      <c r="J21" s="36"/>
      <c r="K21" s="36"/>
      <c r="L21" s="159"/>
      <c r="M21" s="160"/>
      <c r="N21" s="149"/>
      <c r="O21" s="146"/>
      <c r="P21" s="41"/>
      <c r="Q21" s="41"/>
      <c r="R21" s="41"/>
      <c r="S21" s="41"/>
      <c r="X21" s="41"/>
      <c r="Y21" s="41"/>
      <c r="Z21" s="41"/>
    </row>
    <row r="22" spans="1:26">
      <c r="A22" s="89"/>
      <c r="B22" s="133"/>
      <c r="C22" s="43"/>
      <c r="D22" s="486">
        <f>H7</f>
        <v>142</v>
      </c>
      <c r="E22" s="486"/>
      <c r="F22" s="487">
        <v>1.8</v>
      </c>
      <c r="G22" s="240" t="s">
        <v>10</v>
      </c>
      <c r="H22" s="520">
        <f>D22*F22</f>
        <v>255.6</v>
      </c>
      <c r="I22" s="35"/>
      <c r="J22" s="36"/>
      <c r="K22" s="36"/>
      <c r="L22" s="159">
        <v>25</v>
      </c>
      <c r="M22" s="160">
        <f>L22*H22</f>
        <v>6390</v>
      </c>
      <c r="N22" s="149">
        <f>L22*1.5</f>
        <v>37.5</v>
      </c>
      <c r="O22" s="146">
        <f>N22*H22</f>
        <v>9585</v>
      </c>
      <c r="P22" s="41"/>
      <c r="Q22" s="750" t="s">
        <v>298</v>
      </c>
      <c r="R22" s="751"/>
      <c r="S22" s="751"/>
      <c r="T22" s="797" t="s">
        <v>78</v>
      </c>
      <c r="U22" s="752">
        <f>VLOOKUP(T22,Costings!$A$26:$D$40,4, FALSE)</f>
        <v>6.944</v>
      </c>
      <c r="V22" s="753">
        <f>U22*U22*1.2</f>
        <v>57.862963199999996</v>
      </c>
      <c r="W22" s="754">
        <f>U22*1.5</f>
        <v>10.416</v>
      </c>
      <c r="X22" s="755" t="e">
        <f>W22*Q22*1.2</f>
        <v>#VALUE!</v>
      </c>
      <c r="Y22" s="37"/>
      <c r="Z22" s="41"/>
    </row>
    <row r="23" spans="1:26" ht="11.7" customHeight="1">
      <c r="A23" s="89"/>
      <c r="B23" s="133"/>
      <c r="C23" s="43"/>
      <c r="D23" s="486"/>
      <c r="E23" s="486"/>
      <c r="F23" s="486"/>
      <c r="G23" s="240"/>
      <c r="H23" s="520"/>
      <c r="I23" s="35"/>
      <c r="J23" s="36"/>
      <c r="K23" s="36"/>
      <c r="L23" s="159"/>
      <c r="M23" s="160"/>
      <c r="N23" s="149"/>
      <c r="O23" s="146"/>
      <c r="P23" s="41"/>
      <c r="Q23" s="756" t="s">
        <v>299</v>
      </c>
      <c r="R23" s="41"/>
      <c r="S23" s="41"/>
      <c r="T23" s="469" t="s">
        <v>61</v>
      </c>
      <c r="U23" s="410">
        <f>VLOOKUP(T23,Costings!$A$13:$D$26,4, FALSE)</f>
        <v>10.5</v>
      </c>
      <c r="V23" s="617" t="e">
        <f>Q23*U23</f>
        <v>#VALUE!</v>
      </c>
      <c r="W23" s="727">
        <f>U23*1.5</f>
        <v>15.75</v>
      </c>
      <c r="X23" s="667" t="e">
        <f>W23*Q23</f>
        <v>#VALUE!</v>
      </c>
      <c r="Y23" s="41"/>
      <c r="Z23" s="41"/>
    </row>
    <row r="24" spans="1:26">
      <c r="A24" s="89"/>
      <c r="B24" s="133"/>
      <c r="C24" s="43"/>
      <c r="D24" s="483"/>
      <c r="E24" s="483"/>
      <c r="F24" s="483"/>
      <c r="G24" s="33"/>
      <c r="H24" s="520"/>
      <c r="I24" s="35"/>
      <c r="J24" s="36"/>
      <c r="K24" s="36"/>
      <c r="L24" s="159"/>
      <c r="M24" s="456"/>
      <c r="N24" s="149"/>
      <c r="O24" s="146"/>
      <c r="P24" s="41"/>
      <c r="Q24" s="756" t="s">
        <v>300</v>
      </c>
      <c r="R24" s="620">
        <v>5</v>
      </c>
      <c r="S24" s="80"/>
      <c r="T24" s="797" t="s">
        <v>40</v>
      </c>
      <c r="U24" s="410">
        <f>VLOOKUP(T24,Costings!$A$2:$E$10,4, FALSE)</f>
        <v>3.2922890000000002</v>
      </c>
      <c r="V24" s="618" t="e">
        <f>#REF!*R24*U24</f>
        <v>#REF!</v>
      </c>
      <c r="W24" s="727">
        <f>U24*1.5</f>
        <v>4.9384335000000004</v>
      </c>
      <c r="X24" s="757" t="e">
        <f>#REF!*R24*W24</f>
        <v>#REF!</v>
      </c>
      <c r="Y24" s="41"/>
      <c r="Z24" s="41"/>
    </row>
    <row r="25" spans="1:26" s="37" customFormat="1" ht="15" customHeight="1" thickBot="1">
      <c r="A25" s="451"/>
      <c r="C25" s="942" t="s">
        <v>157</v>
      </c>
      <c r="D25" s="942"/>
      <c r="E25" s="942"/>
      <c r="F25" s="942"/>
      <c r="G25" s="576"/>
      <c r="H25" s="557"/>
      <c r="I25" s="35"/>
      <c r="J25" s="36"/>
      <c r="K25" s="36"/>
      <c r="L25" s="155"/>
      <c r="M25" s="455"/>
      <c r="N25" s="149"/>
      <c r="O25" s="146"/>
      <c r="Q25" s="758" t="s">
        <v>301</v>
      </c>
      <c r="R25" s="759">
        <v>200</v>
      </c>
      <c r="S25" s="760">
        <f>VLOOKUP(R25,Costings!$G$14:$I$20,3)</f>
        <v>10</v>
      </c>
      <c r="T25" s="797" t="s">
        <v>40</v>
      </c>
      <c r="U25" s="761">
        <f>VLOOKUP(T25,Costings!$A$2:$E$10,5, FALSE)</f>
        <v>6.3541177700000011</v>
      </c>
      <c r="V25" s="762" t="e">
        <f>#REF!*U25*1.2</f>
        <v>#REF!</v>
      </c>
      <c r="W25" s="763">
        <f>U25*1.5</f>
        <v>9.5311766550000012</v>
      </c>
      <c r="X25" s="764" t="e">
        <f>W25*#REF!*1.2</f>
        <v>#REF!</v>
      </c>
      <c r="Y25" s="41"/>
    </row>
    <row r="26" spans="1:26" s="41" customFormat="1" ht="15" customHeight="1" thickBot="1">
      <c r="A26" s="89"/>
      <c r="C26" s="43"/>
      <c r="D26" s="486"/>
      <c r="E26" s="486"/>
      <c r="F26" s="486" t="s">
        <v>302</v>
      </c>
      <c r="G26" s="240"/>
      <c r="H26" s="838"/>
      <c r="I26" s="839"/>
      <c r="J26" s="366"/>
      <c r="K26" s="36"/>
      <c r="L26" s="272"/>
      <c r="M26" s="160"/>
      <c r="N26" s="842"/>
      <c r="O26" s="267"/>
    </row>
    <row r="27" spans="1:26" s="41" customFormat="1" ht="15" customHeight="1">
      <c r="A27" s="89"/>
      <c r="B27" s="133"/>
      <c r="C27" s="43" t="str">
        <f>C9</f>
        <v>SF2</v>
      </c>
      <c r="D27" s="726">
        <f>D9</f>
        <v>9</v>
      </c>
      <c r="E27" s="726"/>
      <c r="F27" s="487">
        <v>2</v>
      </c>
      <c r="G27" s="240">
        <v>2</v>
      </c>
      <c r="H27" s="796">
        <f>D27*G27*F27</f>
        <v>36</v>
      </c>
      <c r="I27" s="840"/>
      <c r="J27" s="37"/>
      <c r="K27" s="797" t="s">
        <v>78</v>
      </c>
      <c r="L27" s="752">
        <f>VLOOKUP(K27,Costings!$A$26:$D$40,4, FALSE)</f>
        <v>6.944</v>
      </c>
      <c r="M27" s="753">
        <f>L27*L27*1.2</f>
        <v>57.862963199999996</v>
      </c>
      <c r="N27" s="754">
        <f>L27*1.5</f>
        <v>10.416</v>
      </c>
      <c r="O27" s="755">
        <f>N27*H27*1.2</f>
        <v>449.97120000000001</v>
      </c>
    </row>
    <row r="28" spans="1:26" s="41" customFormat="1" ht="15" customHeight="1">
      <c r="A28" s="89"/>
      <c r="B28" s="133"/>
      <c r="C28" s="43" t="str">
        <f t="shared" ref="C28:E30" si="2">C10</f>
        <v>SF3</v>
      </c>
      <c r="D28" s="726">
        <f t="shared" si="2"/>
        <v>93</v>
      </c>
      <c r="E28" s="726">
        <f t="shared" si="2"/>
        <v>0.6</v>
      </c>
      <c r="F28" s="487">
        <v>2</v>
      </c>
      <c r="G28" s="240">
        <f t="shared" ref="G28:G30" si="3">G10</f>
        <v>1</v>
      </c>
      <c r="H28" s="796">
        <f>D28*E28*F28</f>
        <v>111.6</v>
      </c>
      <c r="I28" s="840"/>
      <c r="J28" s="37"/>
      <c r="K28" s="469" t="s">
        <v>57</v>
      </c>
      <c r="L28" s="410">
        <f>VLOOKUP(K28,Costings!$A$13:$D$26,4, FALSE)</f>
        <v>9</v>
      </c>
      <c r="M28" s="617">
        <f t="shared" ref="M28:M30" si="4">H28*L28</f>
        <v>1004.4</v>
      </c>
      <c r="N28" s="727">
        <f>L28*1.5</f>
        <v>13.5</v>
      </c>
      <c r="O28" s="667">
        <f>N28*H28</f>
        <v>1506.6</v>
      </c>
    </row>
    <row r="29" spans="1:26" s="41" customFormat="1" ht="15" customHeight="1">
      <c r="A29" s="89"/>
      <c r="B29" s="133"/>
      <c r="C29" s="43" t="str">
        <f t="shared" si="2"/>
        <v>SF4</v>
      </c>
      <c r="D29" s="726">
        <f t="shared" si="2"/>
        <v>8</v>
      </c>
      <c r="E29" s="726">
        <f t="shared" si="2"/>
        <v>2.1</v>
      </c>
      <c r="F29" s="487">
        <v>2</v>
      </c>
      <c r="G29" s="240">
        <f t="shared" si="3"/>
        <v>1</v>
      </c>
      <c r="H29" s="796">
        <f>D29*E29*F29</f>
        <v>33.6</v>
      </c>
      <c r="I29" s="840"/>
      <c r="J29" s="37"/>
      <c r="K29" s="469" t="s">
        <v>57</v>
      </c>
      <c r="L29" s="410">
        <f>VLOOKUP(K29,Costings!$A$13:$D$26,4, FALSE)</f>
        <v>9</v>
      </c>
      <c r="M29" s="617">
        <f t="shared" si="4"/>
        <v>302.40000000000003</v>
      </c>
      <c r="N29" s="727">
        <f>L29*1.5</f>
        <v>13.5</v>
      </c>
      <c r="O29" s="667">
        <f>N29*H29</f>
        <v>453.6</v>
      </c>
    </row>
    <row r="30" spans="1:26" s="41" customFormat="1" ht="15" customHeight="1">
      <c r="A30" s="89"/>
      <c r="B30" s="133"/>
      <c r="C30" s="43" t="str">
        <f t="shared" si="2"/>
        <v>F1</v>
      </c>
      <c r="D30" s="726">
        <f t="shared" si="2"/>
        <v>2</v>
      </c>
      <c r="E30" s="726">
        <f t="shared" si="2"/>
        <v>1.2</v>
      </c>
      <c r="F30" s="487">
        <v>1</v>
      </c>
      <c r="G30" s="240">
        <f t="shared" si="3"/>
        <v>9</v>
      </c>
      <c r="H30" s="796">
        <f>D30*E30*1.2*F30*G30</f>
        <v>25.919999999999998</v>
      </c>
      <c r="I30" s="798">
        <v>200</v>
      </c>
      <c r="J30" s="619">
        <f>VLOOKUP(I30,Costings!$G$14:$I$20,3)</f>
        <v>10</v>
      </c>
      <c r="K30" s="797" t="s">
        <v>41</v>
      </c>
      <c r="L30" s="418">
        <f>VLOOKUP(K30,Costings!$A$2:$E$10,5, FALSE)*J30</f>
        <v>99.850422100000003</v>
      </c>
      <c r="M30" s="799">
        <f t="shared" si="4"/>
        <v>2588.122940832</v>
      </c>
      <c r="N30" s="411">
        <f t="shared" ref="N30" si="5">L30*1.5</f>
        <v>149.77563315</v>
      </c>
      <c r="O30" s="267">
        <f t="shared" ref="O30" si="6">N30*H30*1.2</f>
        <v>4658.6212934975993</v>
      </c>
    </row>
    <row r="31" spans="1:26" s="41" customFormat="1" ht="15" customHeight="1">
      <c r="H31" s="41">
        <f>D30*E30*F30*G30</f>
        <v>21.599999999999998</v>
      </c>
      <c r="K31" s="469" t="s">
        <v>57</v>
      </c>
      <c r="L31" s="410">
        <f>VLOOKUP(K31,Costings!$A$13:$D$26,4, FALSE)</f>
        <v>9</v>
      </c>
      <c r="M31" s="617">
        <f>H31*L31</f>
        <v>194.39999999999998</v>
      </c>
      <c r="N31" s="727">
        <f>L31*1.5</f>
        <v>13.5</v>
      </c>
      <c r="O31" s="667">
        <f>N31*H31</f>
        <v>291.59999999999997</v>
      </c>
    </row>
    <row r="32" spans="1:26" s="41" customFormat="1" ht="15" customHeight="1">
      <c r="A32" s="89"/>
      <c r="B32" s="133"/>
      <c r="C32" s="43" t="str">
        <f>C13</f>
        <v>F2</v>
      </c>
      <c r="D32" s="726">
        <f>D13</f>
        <v>2.2000000000000002</v>
      </c>
      <c r="E32" s="726">
        <f>E13</f>
        <v>1.4</v>
      </c>
      <c r="F32" s="487">
        <v>1</v>
      </c>
      <c r="G32" s="240">
        <f>G13</f>
        <v>6</v>
      </c>
      <c r="H32" s="796">
        <f>D32*E32*1.2*F32*G32</f>
        <v>22.175999999999998</v>
      </c>
      <c r="I32" s="798">
        <v>200</v>
      </c>
      <c r="J32" s="619">
        <f>VLOOKUP(I32,Costings!$G$14:$I$20,3)</f>
        <v>10</v>
      </c>
      <c r="K32" s="797" t="s">
        <v>41</v>
      </c>
      <c r="L32" s="418">
        <f>VLOOKUP(K32,Costings!$A$2:$E$10,5, FALSE)*J32</f>
        <v>99.850422100000003</v>
      </c>
      <c r="M32" s="799">
        <f>H32*L32</f>
        <v>2214.2829604896001</v>
      </c>
      <c r="N32" s="411">
        <f t="shared" ref="N32:N34" si="7">L32*1.5</f>
        <v>149.77563315</v>
      </c>
      <c r="O32" s="267">
        <f t="shared" ref="O32:O34" si="8">N32*H32*1.2</f>
        <v>3985.7093288812798</v>
      </c>
    </row>
    <row r="33" spans="1:15" s="41" customFormat="1" ht="15" customHeight="1">
      <c r="A33" s="89"/>
      <c r="B33" s="133"/>
      <c r="C33" s="43"/>
      <c r="D33" s="726"/>
      <c r="E33" s="726"/>
      <c r="F33" s="487"/>
      <c r="G33" s="240"/>
      <c r="H33" s="796">
        <f>D32*E32*F32*G32</f>
        <v>18.48</v>
      </c>
      <c r="I33" s="798"/>
      <c r="J33" s="619"/>
      <c r="K33" s="469" t="s">
        <v>57</v>
      </c>
      <c r="L33" s="410">
        <f>VLOOKUP(K33,Costings!$A$13:$D$26,4, FALSE)</f>
        <v>9</v>
      </c>
      <c r="M33" s="617">
        <f>H33*L33</f>
        <v>166.32</v>
      </c>
      <c r="N33" s="727">
        <f>L33*1.5</f>
        <v>13.5</v>
      </c>
      <c r="O33" s="667">
        <f>N33*H33</f>
        <v>249.48000000000002</v>
      </c>
    </row>
    <row r="34" spans="1:15" s="41" customFormat="1" ht="15" customHeight="1">
      <c r="A34" s="89"/>
      <c r="B34" s="133"/>
      <c r="C34" s="43" t="str">
        <f>C14</f>
        <v>PF3</v>
      </c>
      <c r="D34" s="726">
        <f>D14</f>
        <v>6.75</v>
      </c>
      <c r="E34" s="726">
        <f>E14</f>
        <v>3.35</v>
      </c>
      <c r="F34" s="487">
        <v>1</v>
      </c>
      <c r="G34" s="240">
        <f>G14</f>
        <v>1</v>
      </c>
      <c r="H34" s="796">
        <f t="shared" ref="H34" si="9">D34*E34*1.2*F34*G34</f>
        <v>27.135000000000002</v>
      </c>
      <c r="I34" s="798">
        <v>200</v>
      </c>
      <c r="J34" s="619">
        <f>VLOOKUP(I34,Costings!$G$14:$I$20,3)</f>
        <v>10</v>
      </c>
      <c r="K34" s="797" t="s">
        <v>41</v>
      </c>
      <c r="L34" s="418">
        <f>VLOOKUP(K34,Costings!$A$2:$E$10,5, FALSE)*J34</f>
        <v>99.850422100000003</v>
      </c>
      <c r="M34" s="799">
        <f>H34*L34</f>
        <v>2709.4412036835001</v>
      </c>
      <c r="N34" s="411">
        <f t="shared" si="7"/>
        <v>149.77563315</v>
      </c>
      <c r="O34" s="267">
        <f t="shared" si="8"/>
        <v>4876.9941666303002</v>
      </c>
    </row>
    <row r="35" spans="1:15" s="41" customFormat="1" ht="15" customHeight="1">
      <c r="A35" s="89"/>
      <c r="B35" s="133"/>
      <c r="C35" s="43"/>
      <c r="D35" s="726"/>
      <c r="E35" s="726"/>
      <c r="F35" s="487"/>
      <c r="G35" s="240"/>
      <c r="H35" s="796"/>
      <c r="I35" s="798">
        <v>200</v>
      </c>
      <c r="J35" s="619">
        <f>VLOOKUP(I35,Costings!$G$14:$I$20,3)</f>
        <v>10</v>
      </c>
      <c r="K35" s="797" t="s">
        <v>40</v>
      </c>
      <c r="L35" s="418">
        <f>VLOOKUP(K35,Costings!$A$2:$E$10,5, FALSE)*J35</f>
        <v>63.541177700000013</v>
      </c>
      <c r="M35" s="799">
        <f>H34*L35</f>
        <v>1724.1898568895006</v>
      </c>
      <c r="N35" s="411">
        <f t="shared" ref="N35" si="10">L35*1.5</f>
        <v>95.311766550000016</v>
      </c>
      <c r="O35" s="267">
        <f>N35*H34*1.2</f>
        <v>3103.5417424011007</v>
      </c>
    </row>
    <row r="36" spans="1:15" s="41" customFormat="1" ht="15" customHeight="1">
      <c r="A36" s="89"/>
      <c r="B36" s="133"/>
      <c r="C36" s="43" t="str">
        <f t="shared" ref="C36:E37" si="11">C15</f>
        <v>RW1</v>
      </c>
      <c r="D36" s="726">
        <f t="shared" si="11"/>
        <v>8.5</v>
      </c>
      <c r="E36" s="726">
        <f t="shared" si="11"/>
        <v>0.8</v>
      </c>
      <c r="F36" s="487">
        <v>2</v>
      </c>
      <c r="G36" s="240">
        <f>G15</f>
        <v>1</v>
      </c>
      <c r="H36" s="796">
        <f>D36*E36*F36*G36</f>
        <v>13.600000000000001</v>
      </c>
      <c r="I36" s="798"/>
      <c r="J36" s="619"/>
      <c r="K36" s="469" t="s">
        <v>57</v>
      </c>
      <c r="L36" s="410">
        <f>VLOOKUP(K36,Costings!$A$13:$D$26,4, FALSE)</f>
        <v>9</v>
      </c>
      <c r="M36" s="617">
        <f>H36*L36</f>
        <v>122.4</v>
      </c>
      <c r="N36" s="727">
        <f>L36*1.5</f>
        <v>13.5</v>
      </c>
      <c r="O36" s="667">
        <f>N36*H36</f>
        <v>183.60000000000002</v>
      </c>
    </row>
    <row r="37" spans="1:15" s="41" customFormat="1" ht="15" customHeight="1">
      <c r="A37" s="89"/>
      <c r="B37" s="133"/>
      <c r="C37" s="43" t="str">
        <f t="shared" si="11"/>
        <v>RW4</v>
      </c>
      <c r="D37" s="726">
        <f t="shared" si="11"/>
        <v>35</v>
      </c>
      <c r="E37" s="726">
        <f t="shared" si="11"/>
        <v>0.8</v>
      </c>
      <c r="F37" s="487">
        <v>2</v>
      </c>
      <c r="G37" s="240">
        <f>G16</f>
        <v>1</v>
      </c>
      <c r="H37" s="796">
        <f>D37*E37*1.2*F37*G37</f>
        <v>67.2</v>
      </c>
      <c r="I37" s="798">
        <v>200</v>
      </c>
      <c r="J37" s="619">
        <f>VLOOKUP(I37,Costings!$G$14:$I$20,3)</f>
        <v>10</v>
      </c>
      <c r="K37" s="797" t="s">
        <v>41</v>
      </c>
      <c r="L37" s="418">
        <f>VLOOKUP(K37,Costings!$A$2:$E$10,5, FALSE)*J37</f>
        <v>99.850422100000003</v>
      </c>
      <c r="M37" s="799">
        <f>H37*L37</f>
        <v>6709.9483651200007</v>
      </c>
      <c r="N37" s="411">
        <f t="shared" ref="N37" si="12">L37*1.5</f>
        <v>149.77563315</v>
      </c>
      <c r="O37" s="267">
        <f t="shared" ref="O37" si="13">N37*H37*1.2</f>
        <v>12077.907057216</v>
      </c>
    </row>
    <row r="38" spans="1:15" s="41" customFormat="1" ht="15" customHeight="1">
      <c r="A38" s="89"/>
      <c r="B38" s="133"/>
      <c r="C38" s="43">
        <f>C18</f>
        <v>0</v>
      </c>
      <c r="D38" s="726">
        <f>D18</f>
        <v>0</v>
      </c>
      <c r="E38" s="726">
        <f>E18</f>
        <v>0</v>
      </c>
      <c r="F38" s="487">
        <v>2</v>
      </c>
      <c r="G38" s="240">
        <v>1</v>
      </c>
      <c r="H38" s="796">
        <f>D38*F38*G38</f>
        <v>0</v>
      </c>
      <c r="I38" s="840"/>
      <c r="J38" s="37"/>
      <c r="K38" s="797"/>
      <c r="L38" s="418"/>
      <c r="M38" s="799"/>
      <c r="N38" s="411"/>
      <c r="O38" s="267"/>
    </row>
    <row r="39" spans="1:15" s="37" customFormat="1" ht="15" customHeight="1">
      <c r="A39" s="89"/>
      <c r="B39" s="133"/>
      <c r="C39" s="43"/>
      <c r="D39" s="483"/>
      <c r="E39" s="483"/>
      <c r="F39" s="483"/>
      <c r="G39" s="33"/>
      <c r="H39" s="838"/>
      <c r="I39" s="841"/>
      <c r="J39" s="36"/>
      <c r="K39" s="36"/>
      <c r="L39" s="272"/>
      <c r="M39" s="160"/>
      <c r="N39" s="459"/>
      <c r="O39" s="459"/>
    </row>
    <row r="40" spans="1:15" s="37" customFormat="1" ht="15" customHeight="1">
      <c r="A40" s="88"/>
      <c r="B40" s="131"/>
      <c r="C40" s="38"/>
      <c r="D40" s="483"/>
      <c r="E40" s="483"/>
      <c r="F40" s="483"/>
      <c r="G40" s="33"/>
      <c r="H40" s="520"/>
      <c r="I40" s="35"/>
      <c r="J40" s="36"/>
      <c r="K40" s="453"/>
      <c r="L40" s="155"/>
      <c r="M40" s="156"/>
      <c r="N40" s="765"/>
      <c r="O40" s="765"/>
    </row>
    <row r="41" spans="1:15" s="41" customFormat="1" ht="15" customHeight="1">
      <c r="A41" s="88"/>
      <c r="B41" s="131"/>
      <c r="C41" s="942" t="s">
        <v>85</v>
      </c>
      <c r="D41" s="952"/>
      <c r="E41" s="952"/>
      <c r="F41" s="952"/>
      <c r="G41" s="33" t="s">
        <v>10</v>
      </c>
      <c r="H41" s="554">
        <v>84.525000000000006</v>
      </c>
      <c r="I41" s="35"/>
      <c r="J41" s="36"/>
      <c r="K41" s="242" t="s">
        <v>91</v>
      </c>
      <c r="L41" s="155">
        <f>VLOOKUP(K41,Costings!$A$49:$B$59,2)</f>
        <v>158</v>
      </c>
      <c r="M41" s="223">
        <f>L41*H41</f>
        <v>13354.95</v>
      </c>
      <c r="N41" s="145">
        <f>L41*1.5</f>
        <v>237</v>
      </c>
      <c r="O41" s="267">
        <f>N41*H41</f>
        <v>20032.425000000003</v>
      </c>
    </row>
    <row r="42" spans="1:15" s="41" customFormat="1" ht="19.95" customHeight="1">
      <c r="A42" s="89"/>
      <c r="B42" s="133"/>
      <c r="C42" s="43"/>
      <c r="D42" s="486"/>
      <c r="E42" s="483"/>
      <c r="F42" s="486"/>
      <c r="G42" s="33"/>
      <c r="H42" s="533"/>
      <c r="I42" s="35"/>
      <c r="J42" s="36"/>
      <c r="K42" s="453"/>
      <c r="L42" s="159"/>
      <c r="M42" s="456"/>
      <c r="N42" s="458"/>
      <c r="O42" s="459"/>
    </row>
    <row r="43" spans="1:15" s="41" customFormat="1" ht="15" customHeight="1">
      <c r="A43" s="89"/>
      <c r="B43" s="133"/>
      <c r="C43" s="43" t="s">
        <v>237</v>
      </c>
      <c r="D43" s="486"/>
      <c r="E43" s="483"/>
      <c r="F43" s="483"/>
      <c r="G43" s="33"/>
      <c r="H43" s="533"/>
      <c r="I43" s="35"/>
      <c r="J43" s="36"/>
      <c r="K43" s="453"/>
      <c r="L43" s="159"/>
      <c r="M43" s="456"/>
      <c r="N43" s="458"/>
      <c r="O43" s="459"/>
    </row>
    <row r="44" spans="1:15" s="41" customFormat="1" ht="15" customHeight="1">
      <c r="A44" s="89"/>
      <c r="B44" s="133"/>
      <c r="C44" s="43"/>
      <c r="D44" s="486"/>
      <c r="E44" s="483"/>
      <c r="F44" s="483"/>
      <c r="G44" s="33"/>
      <c r="H44" s="533"/>
      <c r="I44" s="35"/>
      <c r="J44" s="36"/>
      <c r="K44" s="453"/>
      <c r="L44" s="159"/>
      <c r="M44" s="456"/>
      <c r="N44" s="458"/>
      <c r="O44" s="459"/>
    </row>
    <row r="45" spans="1:15" s="41" customFormat="1" ht="15" customHeight="1">
      <c r="A45" s="91"/>
      <c r="B45" s="166" t="s">
        <v>134</v>
      </c>
      <c r="C45" s="24"/>
      <c r="D45" s="483"/>
      <c r="E45" s="483"/>
      <c r="F45" s="483"/>
      <c r="G45" s="33"/>
      <c r="H45" s="554"/>
      <c r="I45" s="17"/>
      <c r="J45" s="20"/>
      <c r="K45" s="20"/>
      <c r="L45" s="157"/>
      <c r="M45" s="158"/>
      <c r="N45" s="147"/>
      <c r="O45" s="148"/>
    </row>
    <row r="46" spans="1:15" s="41" customFormat="1" ht="15" customHeight="1">
      <c r="A46" s="91"/>
      <c r="B46" s="166"/>
      <c r="C46" s="24"/>
      <c r="D46" s="483" t="s">
        <v>135</v>
      </c>
      <c r="E46" s="483" t="s">
        <v>136</v>
      </c>
      <c r="F46" s="483" t="s">
        <v>137</v>
      </c>
      <c r="G46" s="33"/>
      <c r="H46" s="554"/>
      <c r="I46" s="17"/>
      <c r="J46" s="20"/>
      <c r="K46" s="20"/>
      <c r="L46" s="157"/>
      <c r="M46" s="158"/>
      <c r="N46" s="147"/>
      <c r="O46" s="148"/>
    </row>
    <row r="47" spans="1:15" s="41" customFormat="1" ht="13.8">
      <c r="A47" s="91"/>
      <c r="B47" s="130"/>
      <c r="C47" s="86" t="s">
        <v>260</v>
      </c>
      <c r="D47" s="507">
        <v>4</v>
      </c>
      <c r="E47" s="502">
        <v>8</v>
      </c>
      <c r="F47" s="502">
        <v>6</v>
      </c>
      <c r="G47" s="33"/>
      <c r="H47" s="555">
        <f>D47*E47*F47</f>
        <v>192</v>
      </c>
      <c r="I47" s="87"/>
      <c r="J47" s="20"/>
      <c r="K47" s="20"/>
      <c r="L47" s="157">
        <v>75</v>
      </c>
      <c r="M47" s="158">
        <f>H47*L47</f>
        <v>14400</v>
      </c>
      <c r="N47" s="147">
        <f>L47*1.2</f>
        <v>90</v>
      </c>
      <c r="O47" s="148">
        <f>N47*H47</f>
        <v>17280</v>
      </c>
    </row>
    <row r="48" spans="1:15" s="37" customFormat="1" ht="15" customHeight="1">
      <c r="A48" s="91"/>
      <c r="B48" s="41"/>
      <c r="C48" s="452" t="s">
        <v>261</v>
      </c>
      <c r="D48" s="507">
        <v>4</v>
      </c>
      <c r="E48" s="502">
        <v>8</v>
      </c>
      <c r="F48" s="502">
        <v>2</v>
      </c>
      <c r="G48" s="33"/>
      <c r="H48" s="555">
        <f>D48*E48*F48</f>
        <v>64</v>
      </c>
      <c r="I48" s="87"/>
      <c r="J48" s="20"/>
      <c r="K48" s="20"/>
      <c r="L48" s="157">
        <v>75</v>
      </c>
      <c r="M48" s="158">
        <f>H48*L48</f>
        <v>4800</v>
      </c>
      <c r="N48" s="147">
        <f>L48*1.2</f>
        <v>90</v>
      </c>
      <c r="O48" s="148">
        <f>N48*H48</f>
        <v>5760</v>
      </c>
    </row>
    <row r="49" spans="1:19" s="37" customFormat="1" ht="15" customHeight="1">
      <c r="A49" s="91"/>
      <c r="B49" s="41"/>
      <c r="C49" s="41"/>
      <c r="D49" s="483"/>
      <c r="E49" s="483"/>
      <c r="F49" s="483"/>
      <c r="G49" s="33"/>
      <c r="H49" s="520"/>
      <c r="I49" s="17"/>
      <c r="J49" s="20"/>
      <c r="K49" s="20"/>
      <c r="L49" s="157"/>
      <c r="M49" s="158"/>
      <c r="N49" s="147"/>
      <c r="O49" s="148"/>
    </row>
    <row r="50" spans="1:19" s="41" customFormat="1" ht="17.7" customHeight="1">
      <c r="A50" s="88"/>
      <c r="B50" s="131"/>
      <c r="C50" s="942" t="s">
        <v>235</v>
      </c>
      <c r="D50" s="952"/>
      <c r="E50" s="952"/>
      <c r="F50" s="952"/>
      <c r="G50" s="33" t="s">
        <v>236</v>
      </c>
      <c r="H50" s="554">
        <f>H53</f>
        <v>3874</v>
      </c>
      <c r="I50" s="35"/>
      <c r="J50" s="36"/>
      <c r="K50" s="36"/>
      <c r="L50" s="155">
        <v>1</v>
      </c>
      <c r="M50" s="156">
        <f>H50*L50</f>
        <v>3874</v>
      </c>
      <c r="N50" s="145">
        <v>1.5</v>
      </c>
      <c r="O50" s="146">
        <f>N50*H50</f>
        <v>5811</v>
      </c>
    </row>
    <row r="51" spans="1:19" s="37" customFormat="1" ht="15" customHeight="1">
      <c r="A51" s="89"/>
      <c r="B51" s="133"/>
      <c r="C51" s="43"/>
      <c r="D51" s="483">
        <v>180</v>
      </c>
      <c r="E51" s="476">
        <v>16</v>
      </c>
      <c r="F51" s="486"/>
      <c r="G51" s="33"/>
      <c r="H51" s="533">
        <f>D51*E51</f>
        <v>2880</v>
      </c>
      <c r="I51" s="35"/>
      <c r="J51" s="36"/>
      <c r="K51" s="36"/>
      <c r="L51" s="159"/>
      <c r="M51" s="160"/>
      <c r="N51" s="149"/>
      <c r="O51" s="150"/>
    </row>
    <row r="52" spans="1:19" s="37" customFormat="1" ht="15" customHeight="1">
      <c r="A52" s="89"/>
      <c r="B52" s="133"/>
      <c r="C52" s="43" t="s">
        <v>237</v>
      </c>
      <c r="D52" s="483">
        <f>H7</f>
        <v>142</v>
      </c>
      <c r="E52" s="483">
        <v>7</v>
      </c>
      <c r="F52" s="483"/>
      <c r="G52" s="33"/>
      <c r="H52" s="540">
        <f>D52*E52</f>
        <v>994</v>
      </c>
      <c r="I52" s="35"/>
      <c r="J52" s="36"/>
      <c r="K52" s="36"/>
      <c r="L52" s="159"/>
      <c r="M52" s="160"/>
      <c r="N52" s="149"/>
      <c r="O52" s="150"/>
    </row>
    <row r="53" spans="1:19" s="41" customFormat="1" ht="15" customHeight="1" thickBot="1">
      <c r="A53" s="89"/>
      <c r="B53" s="133"/>
      <c r="C53" s="43"/>
      <c r="D53" s="483"/>
      <c r="E53" s="483"/>
      <c r="F53" s="483"/>
      <c r="G53" s="33"/>
      <c r="H53" s="556">
        <f>SUM(H51:H52)</f>
        <v>3874</v>
      </c>
      <c r="I53" s="35"/>
      <c r="J53" s="36"/>
      <c r="K53" s="36"/>
      <c r="L53" s="159"/>
      <c r="M53" s="160"/>
      <c r="N53" s="149"/>
      <c r="O53" s="150"/>
    </row>
    <row r="54" spans="1:19" s="37" customFormat="1" ht="15" customHeight="1" thickTop="1">
      <c r="A54" s="91"/>
      <c r="B54" s="41"/>
      <c r="C54" s="41"/>
      <c r="D54" s="483"/>
      <c r="E54" s="483"/>
      <c r="F54" s="483"/>
      <c r="G54" s="33"/>
      <c r="H54" s="520"/>
      <c r="I54" s="17"/>
      <c r="J54" s="20"/>
      <c r="K54" s="20"/>
      <c r="L54" s="157"/>
      <c r="M54" s="158"/>
      <c r="N54" s="147"/>
      <c r="O54" s="148"/>
    </row>
    <row r="55" spans="1:19" s="37" customFormat="1" ht="15" customHeight="1">
      <c r="A55" s="91"/>
      <c r="B55" s="41"/>
      <c r="C55" s="41"/>
      <c r="D55" s="483"/>
      <c r="E55" s="483"/>
      <c r="F55" s="483"/>
      <c r="G55" s="33"/>
      <c r="H55" s="520"/>
      <c r="I55" s="17"/>
      <c r="J55" s="20"/>
      <c r="K55" s="20"/>
      <c r="L55" s="157"/>
      <c r="M55" s="158"/>
      <c r="N55" s="147"/>
      <c r="O55" s="148"/>
    </row>
    <row r="56" spans="1:19">
      <c r="A56" s="91"/>
      <c r="B56" s="23" t="s">
        <v>262</v>
      </c>
      <c r="C56" s="16"/>
      <c r="D56" s="483"/>
      <c r="E56" s="483"/>
      <c r="F56" s="483"/>
      <c r="G56" s="33"/>
      <c r="H56" s="520"/>
      <c r="I56" s="17"/>
      <c r="J56" s="20"/>
      <c r="K56" s="20"/>
      <c r="L56" s="157"/>
      <c r="M56" s="158"/>
      <c r="N56" s="147"/>
      <c r="O56" s="148"/>
      <c r="P56" s="41"/>
      <c r="Q56" s="35"/>
      <c r="R56" s="41"/>
      <c r="S56" s="41"/>
    </row>
    <row r="57" spans="1:19">
      <c r="A57" s="91"/>
      <c r="B57" s="130"/>
      <c r="C57" s="953" t="s">
        <v>263</v>
      </c>
      <c r="D57" s="954"/>
      <c r="E57" s="954"/>
      <c r="F57" s="954"/>
      <c r="G57" s="33" t="s">
        <v>10</v>
      </c>
      <c r="H57" s="554">
        <v>0</v>
      </c>
      <c r="I57" s="17"/>
      <c r="J57" s="20"/>
      <c r="K57" s="20"/>
      <c r="L57" s="157">
        <v>300</v>
      </c>
      <c r="M57" s="158" t="s">
        <v>264</v>
      </c>
      <c r="N57" s="147">
        <v>300</v>
      </c>
      <c r="O57" s="148" t="s">
        <v>264</v>
      </c>
      <c r="P57" s="41"/>
      <c r="Q57" s="41"/>
      <c r="R57" s="41"/>
      <c r="S57" s="41"/>
    </row>
    <row r="58" spans="1:19">
      <c r="A58" s="91"/>
      <c r="B58" s="130"/>
      <c r="C58" s="24"/>
      <c r="D58" s="483"/>
      <c r="E58" s="483"/>
      <c r="F58" s="483"/>
      <c r="G58" s="33"/>
      <c r="H58" s="554"/>
      <c r="I58" s="17"/>
      <c r="J58" s="20"/>
      <c r="K58" s="20"/>
      <c r="L58" s="157"/>
      <c r="M58" s="158"/>
      <c r="N58" s="147"/>
      <c r="O58" s="148"/>
      <c r="P58" s="41"/>
      <c r="Q58" s="41"/>
      <c r="R58" s="41"/>
      <c r="S58" s="41"/>
    </row>
    <row r="59" spans="1:19">
      <c r="A59" s="91"/>
      <c r="B59" s="130"/>
      <c r="C59" s="86"/>
      <c r="D59" s="502"/>
      <c r="E59" s="502"/>
      <c r="F59" s="502"/>
      <c r="G59" s="33"/>
      <c r="H59" s="533">
        <v>0</v>
      </c>
      <c r="I59" s="87"/>
      <c r="J59" s="20"/>
      <c r="K59" s="20"/>
      <c r="L59" s="161">
        <f>M60/H19</f>
        <v>479.64354579285418</v>
      </c>
      <c r="M59" s="158"/>
      <c r="N59" s="151">
        <f>O60/H19</f>
        <v>715.12293277486685</v>
      </c>
      <c r="O59" s="148"/>
      <c r="P59" s="41"/>
      <c r="Q59" s="41"/>
      <c r="R59" s="41"/>
      <c r="S59" s="41"/>
    </row>
    <row r="60" spans="1:19">
      <c r="A60" s="90"/>
      <c r="B60" s="132"/>
      <c r="C60" s="67"/>
      <c r="D60" s="499"/>
      <c r="E60" s="499"/>
      <c r="F60" s="499"/>
      <c r="G60" s="69"/>
      <c r="H60" s="528"/>
      <c r="I60" s="75"/>
      <c r="J60" s="76"/>
      <c r="K60" s="77"/>
      <c r="L60" s="154" t="s">
        <v>140</v>
      </c>
      <c r="M60" s="154">
        <f>SUM(M7:M56)</f>
        <v>67712.718290214601</v>
      </c>
      <c r="N60" s="144" t="s">
        <v>140</v>
      </c>
      <c r="O60" s="144">
        <f>SUM(O7:O56)</f>
        <v>100956.04978862627</v>
      </c>
      <c r="P60" s="41"/>
      <c r="Q60" s="41"/>
      <c r="R60" s="41"/>
      <c r="S60" s="41"/>
    </row>
  </sheetData>
  <mergeCells count="7">
    <mergeCell ref="K1:M1"/>
    <mergeCell ref="C57:F57"/>
    <mergeCell ref="C7:F7"/>
    <mergeCell ref="C21:F21"/>
    <mergeCell ref="C25:F25"/>
    <mergeCell ref="C41:F41"/>
    <mergeCell ref="C50:F50"/>
  </mergeCells>
  <dataValidations disablePrompts="1" count="1">
    <dataValidation type="list" allowBlank="1" showInputMessage="1" showErrorMessage="1" sqref="K6 K19:K23" xr:uid="{00000000-0002-0000-0900-000000000000}">
      <formula1>#REF!</formula1>
    </dataValidation>
  </dataValidations>
  <pageMargins left="0.7" right="0.7" top="0.75" bottom="0.75" header="0.3" footer="0.3"/>
  <pageSetup paperSize="9" scale="45" orientation="portrait" r:id="rId1"/>
  <colBreaks count="1" manualBreakCount="1">
    <brk id="15" max="52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I93"/>
  <sheetViews>
    <sheetView view="pageBreakPreview" topLeftCell="A14" zoomScale="75" zoomScaleNormal="75" zoomScaleSheetLayoutView="75" workbookViewId="0">
      <selection activeCell="D82" sqref="D82"/>
    </sheetView>
  </sheetViews>
  <sheetFormatPr defaultRowHeight="15.6"/>
  <cols>
    <col min="1" max="1" width="18.59765625" customWidth="1"/>
    <col min="3" max="3" width="24.09765625" customWidth="1"/>
    <col min="4" max="6" width="9" style="485" customWidth="1"/>
    <col min="7" max="7" width="11.3984375" style="192" customWidth="1"/>
    <col min="8" max="8" width="10.69921875" style="259" bestFit="1" customWidth="1"/>
    <col min="9" max="9" width="11.59765625" bestFit="1" customWidth="1"/>
    <col min="12" max="12" width="10.69921875" bestFit="1" customWidth="1"/>
    <col min="13" max="13" width="12" customWidth="1"/>
    <col min="14" max="14" width="10.59765625" bestFit="1" customWidth="1"/>
    <col min="15" max="16" width="11.09765625" bestFit="1" customWidth="1"/>
    <col min="17" max="17" width="14.8984375" bestFit="1" customWidth="1"/>
    <col min="18" max="18" width="9.59765625" customWidth="1"/>
    <col min="21" max="21" width="18.8984375" customWidth="1"/>
    <col min="22" max="22" width="13.69921875" customWidth="1"/>
    <col min="23" max="23" width="8.19921875" bestFit="1" customWidth="1"/>
    <col min="24" max="25" width="9.3984375" bestFit="1" customWidth="1"/>
    <col min="26" max="26" width="9.09765625" bestFit="1" customWidth="1"/>
    <col min="27" max="27" width="9.3984375" bestFit="1" customWidth="1"/>
    <col min="28" max="28" width="17.8984375" bestFit="1" customWidth="1"/>
    <col min="29" max="30" width="9.3984375" bestFit="1" customWidth="1"/>
    <col min="31" max="35" width="9.09765625" bestFit="1" customWidth="1"/>
    <col min="37" max="37" width="15.19921875" customWidth="1"/>
  </cols>
  <sheetData>
    <row r="1" spans="1:35">
      <c r="A1" s="94" t="s">
        <v>0</v>
      </c>
      <c r="B1" s="128"/>
      <c r="C1" s="54"/>
      <c r="D1" s="486"/>
      <c r="E1" s="486"/>
      <c r="F1" s="486"/>
      <c r="G1" s="80"/>
      <c r="H1" s="478"/>
      <c r="I1" s="50"/>
      <c r="J1" s="47"/>
      <c r="K1" s="937" t="str">
        <f>SUMMARY!N1</f>
        <v>PROPOSED BUILDING WORKS</v>
      </c>
      <c r="L1" s="937"/>
      <c r="M1" s="937"/>
      <c r="N1" s="2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</row>
    <row r="2" spans="1:35">
      <c r="A2" s="94">
        <f>SUMMARY!A2</f>
        <v>0</v>
      </c>
      <c r="B2" s="128"/>
      <c r="C2" s="54"/>
      <c r="D2" s="486"/>
      <c r="E2" s="486"/>
      <c r="F2" s="486"/>
      <c r="G2" s="80"/>
      <c r="H2" s="478"/>
      <c r="I2" s="50"/>
      <c r="J2" s="47"/>
      <c r="K2" s="47"/>
      <c r="L2" s="47"/>
      <c r="M2" s="53" t="str">
        <f>SUMMARY!N2</f>
        <v>261-263 Balwyn Road, Balwyn North</v>
      </c>
      <c r="N2" s="2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</row>
    <row r="3" spans="1:35">
      <c r="A3" s="49"/>
      <c r="B3" s="128"/>
      <c r="C3" s="54"/>
      <c r="D3" s="486"/>
      <c r="E3" s="486"/>
      <c r="F3" s="486"/>
      <c r="G3" s="80"/>
      <c r="H3" s="478"/>
      <c r="I3" s="50"/>
      <c r="J3" s="47"/>
      <c r="K3" s="47"/>
      <c r="L3" s="47"/>
      <c r="M3" s="51" t="str">
        <f>SUMMARY!N3</f>
        <v>ESTIMATE - V1</v>
      </c>
      <c r="N3" s="22"/>
      <c r="O3" s="52"/>
      <c r="P3" s="52"/>
      <c r="Q3" s="52"/>
      <c r="R3" s="52"/>
      <c r="S3" s="52"/>
      <c r="T3" s="52"/>
      <c r="X3" s="37"/>
      <c r="Y3" s="37"/>
      <c r="Z3" s="37"/>
      <c r="AA3" s="52"/>
    </row>
    <row r="4" spans="1:35">
      <c r="A4" s="102" t="s">
        <v>98</v>
      </c>
      <c r="B4" s="129" t="s">
        <v>99</v>
      </c>
      <c r="C4" s="55"/>
      <c r="D4" s="482" t="s">
        <v>100</v>
      </c>
      <c r="E4" s="482" t="s">
        <v>101</v>
      </c>
      <c r="F4" s="482" t="s">
        <v>102</v>
      </c>
      <c r="G4" s="58" t="s">
        <v>103</v>
      </c>
      <c r="H4" s="518" t="s">
        <v>104</v>
      </c>
      <c r="I4" s="59" t="s">
        <v>105</v>
      </c>
      <c r="J4" s="60" t="s">
        <v>106</v>
      </c>
      <c r="K4" s="60" t="s">
        <v>107</v>
      </c>
      <c r="L4" s="154" t="s">
        <v>108</v>
      </c>
      <c r="M4" s="154" t="s">
        <v>109</v>
      </c>
      <c r="N4" s="144" t="s">
        <v>108</v>
      </c>
      <c r="O4" s="144" t="s">
        <v>109</v>
      </c>
      <c r="P4" s="32"/>
      <c r="Q4" s="32"/>
      <c r="R4" s="32"/>
      <c r="S4" s="32"/>
      <c r="T4" s="32"/>
      <c r="U4" s="199"/>
      <c r="V4" s="199"/>
      <c r="W4" s="189"/>
      <c r="X4" s="198"/>
      <c r="Y4" s="627"/>
      <c r="Z4" s="199"/>
      <c r="AA4" s="199"/>
      <c r="AB4" s="199"/>
      <c r="AC4" s="199"/>
      <c r="AD4" s="199"/>
      <c r="AE4" s="199"/>
      <c r="AF4" s="199"/>
      <c r="AG4" s="199"/>
      <c r="AH4" s="183"/>
      <c r="AI4" s="206"/>
    </row>
    <row r="5" spans="1:35">
      <c r="A5" s="88">
        <v>8</v>
      </c>
      <c r="B5" s="61" t="s">
        <v>303</v>
      </c>
      <c r="C5" s="62"/>
      <c r="D5" s="483"/>
      <c r="E5" s="483"/>
      <c r="F5" s="483"/>
      <c r="G5" s="33"/>
      <c r="H5" s="520"/>
      <c r="I5" s="35"/>
      <c r="J5" s="36"/>
      <c r="K5" s="36"/>
      <c r="L5" s="155"/>
      <c r="M5" s="156"/>
      <c r="N5" s="145"/>
      <c r="O5" s="225"/>
      <c r="P5" s="37"/>
      <c r="Q5" s="37"/>
      <c r="R5" s="37"/>
      <c r="S5" s="41"/>
    </row>
    <row r="6" spans="1:35">
      <c r="A6" s="88"/>
      <c r="B6" s="131"/>
      <c r="C6" s="38"/>
      <c r="D6" s="483"/>
      <c r="E6" s="483"/>
      <c r="F6" s="483"/>
      <c r="G6" s="33"/>
      <c r="H6" s="520"/>
      <c r="I6" s="35"/>
      <c r="J6" s="36"/>
      <c r="K6" s="36"/>
      <c r="L6" s="155"/>
      <c r="M6" s="156"/>
      <c r="N6" s="145"/>
      <c r="O6" s="146"/>
      <c r="P6" s="37"/>
      <c r="Q6" s="37"/>
      <c r="R6" s="37"/>
      <c r="S6" s="41"/>
    </row>
    <row r="7" spans="1:35">
      <c r="A7" s="88"/>
      <c r="B7" s="61" t="s">
        <v>304</v>
      </c>
      <c r="C7" s="38"/>
      <c r="D7" s="483"/>
      <c r="E7" s="483"/>
      <c r="F7" s="483"/>
      <c r="G7" s="33"/>
      <c r="H7" s="520"/>
      <c r="I7" s="35"/>
      <c r="J7" s="36"/>
      <c r="K7" s="36"/>
      <c r="L7" s="155"/>
      <c r="M7" s="156"/>
      <c r="N7" s="145"/>
      <c r="O7" s="146"/>
      <c r="P7" s="41"/>
      <c r="Q7" s="41"/>
      <c r="R7" s="41"/>
      <c r="S7" s="41"/>
    </row>
    <row r="8" spans="1:35">
      <c r="A8" s="88"/>
      <c r="B8" s="131"/>
      <c r="C8" s="942" t="s">
        <v>305</v>
      </c>
      <c r="D8" s="957"/>
      <c r="E8" s="957"/>
      <c r="F8" s="957"/>
      <c r="G8" s="33" t="s">
        <v>12</v>
      </c>
      <c r="H8" s="554">
        <v>890</v>
      </c>
      <c r="I8" s="35"/>
      <c r="J8" s="36"/>
      <c r="K8" s="36"/>
      <c r="L8" s="155"/>
      <c r="M8" s="156" t="s">
        <v>306</v>
      </c>
      <c r="N8" s="145"/>
      <c r="O8" s="146" t="s">
        <v>306</v>
      </c>
      <c r="P8" s="41"/>
      <c r="Q8" s="41"/>
      <c r="R8" s="41"/>
      <c r="S8" s="41"/>
    </row>
    <row r="9" spans="1:35">
      <c r="A9" s="89"/>
      <c r="B9" s="133"/>
      <c r="C9" s="233"/>
      <c r="D9" s="476"/>
      <c r="E9" s="476"/>
      <c r="F9" s="487"/>
      <c r="G9" s="33"/>
      <c r="H9" s="533">
        <f>D9*E9*F9</f>
        <v>0</v>
      </c>
      <c r="I9" s="35"/>
      <c r="J9" s="36"/>
      <c r="K9" s="36"/>
      <c r="L9" s="159"/>
      <c r="M9" s="160"/>
      <c r="N9" s="149"/>
      <c r="O9" s="150"/>
      <c r="P9" s="41"/>
      <c r="Q9" s="41"/>
      <c r="R9" s="164"/>
      <c r="S9" s="41"/>
    </row>
    <row r="10" spans="1:35">
      <c r="A10" s="89"/>
      <c r="B10" s="133"/>
      <c r="C10" s="233"/>
      <c r="D10" s="476"/>
      <c r="E10" s="476"/>
      <c r="F10" s="487"/>
      <c r="G10" s="33"/>
      <c r="H10" s="533">
        <f>D10*E10*F10</f>
        <v>0</v>
      </c>
      <c r="I10" s="35"/>
      <c r="J10" s="36"/>
      <c r="K10" s="36"/>
      <c r="L10" s="159"/>
      <c r="M10" s="160"/>
      <c r="N10" s="149"/>
      <c r="O10" s="150"/>
      <c r="P10" s="37"/>
      <c r="Q10" s="465"/>
      <c r="R10" s="466"/>
      <c r="S10" s="37"/>
    </row>
    <row r="11" spans="1:35">
      <c r="A11" s="89"/>
      <c r="B11" s="133"/>
      <c r="C11" s="233"/>
      <c r="D11" s="476"/>
      <c r="E11" s="476"/>
      <c r="F11" s="476"/>
      <c r="G11" s="33"/>
      <c r="H11" s="533">
        <f>D11*E11*F11</f>
        <v>0</v>
      </c>
      <c r="I11" s="35"/>
      <c r="J11" s="36"/>
      <c r="K11" s="36"/>
      <c r="L11" s="159"/>
      <c r="M11" s="160"/>
      <c r="N11" s="149"/>
      <c r="O11" s="150"/>
      <c r="P11" s="37"/>
      <c r="Q11" s="37"/>
      <c r="R11" s="37"/>
      <c r="S11" s="37"/>
    </row>
    <row r="12" spans="1:35">
      <c r="A12" s="89"/>
      <c r="B12" s="133"/>
      <c r="C12" s="233"/>
      <c r="D12" s="476"/>
      <c r="E12" s="476"/>
      <c r="F12" s="476"/>
      <c r="G12" s="33"/>
      <c r="H12" s="533">
        <f>D12*E12*F12</f>
        <v>0</v>
      </c>
      <c r="I12" s="35"/>
      <c r="J12" s="36"/>
      <c r="K12" s="36"/>
      <c r="L12" s="159"/>
      <c r="M12" s="160"/>
      <c r="N12" s="149"/>
      <c r="O12" s="150"/>
      <c r="P12" s="41"/>
      <c r="Q12" s="41"/>
      <c r="R12" s="41"/>
      <c r="S12" s="41"/>
    </row>
    <row r="13" spans="1:35">
      <c r="A13" s="89"/>
      <c r="B13" s="133"/>
      <c r="C13" s="233" t="s">
        <v>207</v>
      </c>
      <c r="D13" s="476"/>
      <c r="E13" s="476"/>
      <c r="F13" s="476"/>
      <c r="G13" s="33"/>
      <c r="H13" s="533">
        <f>D13*F13</f>
        <v>0</v>
      </c>
      <c r="I13" s="35"/>
      <c r="J13" s="36"/>
      <c r="K13" s="36"/>
      <c r="L13" s="159"/>
      <c r="M13" s="160"/>
      <c r="N13" s="149"/>
      <c r="O13" s="150"/>
      <c r="P13" s="41"/>
      <c r="Q13" s="41"/>
      <c r="R13" s="41"/>
      <c r="S13" s="41"/>
    </row>
    <row r="14" spans="1:35" ht="16.2" thickBot="1">
      <c r="A14" s="89"/>
      <c r="B14" s="133"/>
      <c r="C14" s="233"/>
      <c r="D14" s="483"/>
      <c r="E14" s="483"/>
      <c r="F14" s="483"/>
      <c r="G14" s="33"/>
      <c r="H14" s="556"/>
      <c r="I14" s="35"/>
      <c r="J14" s="36"/>
      <c r="K14" s="36"/>
      <c r="L14" s="159"/>
      <c r="M14" s="160"/>
      <c r="N14" s="149"/>
      <c r="O14" s="150"/>
      <c r="P14" s="41"/>
      <c r="Q14" s="41"/>
      <c r="R14" s="41"/>
      <c r="S14" s="41"/>
    </row>
    <row r="15" spans="1:35" ht="16.2" thickTop="1">
      <c r="A15" s="89"/>
      <c r="B15" s="143" t="s">
        <v>307</v>
      </c>
      <c r="C15" s="43"/>
      <c r="D15" s="483"/>
      <c r="E15" s="483"/>
      <c r="F15" s="483"/>
      <c r="G15" s="33"/>
      <c r="H15" s="520"/>
      <c r="I15" s="35"/>
      <c r="J15" s="36"/>
      <c r="K15" s="36"/>
      <c r="L15" s="159"/>
      <c r="M15" s="160"/>
      <c r="N15" s="149"/>
      <c r="O15" s="150"/>
      <c r="P15" s="41"/>
      <c r="Q15" s="41"/>
      <c r="R15" s="41"/>
      <c r="S15" s="41"/>
    </row>
    <row r="16" spans="1:35">
      <c r="A16" s="89"/>
      <c r="B16" s="133"/>
      <c r="C16" s="629"/>
      <c r="D16" s="483"/>
      <c r="E16" s="483"/>
      <c r="F16" s="483"/>
      <c r="G16" s="33" t="s">
        <v>12</v>
      </c>
      <c r="H16" s="534">
        <f>H8</f>
        <v>890</v>
      </c>
      <c r="I16" s="35"/>
      <c r="J16" s="36"/>
      <c r="K16" s="36"/>
      <c r="L16" s="159"/>
      <c r="M16" s="160"/>
      <c r="N16" s="149"/>
      <c r="O16" s="150"/>
      <c r="P16" s="41"/>
      <c r="Q16" s="41"/>
      <c r="R16" s="41"/>
      <c r="S16" s="41"/>
    </row>
    <row r="17" spans="1:19">
      <c r="A17" s="89"/>
      <c r="B17" s="133"/>
      <c r="C17" s="629"/>
      <c r="D17" s="621"/>
      <c r="E17" s="621"/>
      <c r="F17" s="483"/>
      <c r="G17" s="33">
        <v>1</v>
      </c>
      <c r="H17" s="520">
        <f>D17*E17</f>
        <v>0</v>
      </c>
      <c r="I17" s="35"/>
      <c r="J17" s="36"/>
      <c r="K17" s="36"/>
      <c r="L17" s="159"/>
      <c r="M17" s="160"/>
      <c r="N17" s="149"/>
      <c r="O17" s="150"/>
      <c r="P17" s="41"/>
      <c r="Q17" s="41"/>
      <c r="R17" s="41"/>
      <c r="S17" s="41"/>
    </row>
    <row r="18" spans="1:19">
      <c r="A18" s="89"/>
      <c r="B18" s="133"/>
      <c r="C18" s="43"/>
      <c r="D18" s="621"/>
      <c r="E18" s="621"/>
      <c r="F18" s="483"/>
      <c r="G18" s="255">
        <v>2</v>
      </c>
      <c r="H18" s="520">
        <f>D18*E18*G18</f>
        <v>0</v>
      </c>
      <c r="I18" s="35"/>
      <c r="J18" s="36"/>
      <c r="K18" s="36"/>
      <c r="L18" s="159"/>
      <c r="M18" s="160"/>
      <c r="N18" s="149"/>
      <c r="O18" s="150"/>
      <c r="P18" s="41"/>
      <c r="Q18" s="41"/>
      <c r="R18" s="41"/>
      <c r="S18" s="41"/>
    </row>
    <row r="19" spans="1:19">
      <c r="A19" s="89"/>
      <c r="B19" s="133"/>
      <c r="C19" s="629"/>
      <c r="D19" s="621"/>
      <c r="E19" s="621"/>
      <c r="F19" s="483"/>
      <c r="G19" s="33">
        <v>1</v>
      </c>
      <c r="H19" s="520">
        <f>D19*E19</f>
        <v>0</v>
      </c>
      <c r="I19" s="35"/>
      <c r="J19" s="36"/>
      <c r="K19" s="36"/>
      <c r="L19" s="159"/>
      <c r="M19" s="160"/>
      <c r="N19" s="149"/>
      <c r="O19" s="150"/>
      <c r="P19" s="41"/>
      <c r="Q19" s="41"/>
      <c r="R19" s="41"/>
      <c r="S19" s="41"/>
    </row>
    <row r="20" spans="1:19">
      <c r="C20" s="43"/>
      <c r="D20" s="621"/>
      <c r="E20" s="621"/>
      <c r="F20" s="483"/>
      <c r="G20" s="255">
        <v>2</v>
      </c>
      <c r="H20" s="520">
        <f>D20*E20*G20</f>
        <v>0</v>
      </c>
      <c r="L20" s="159"/>
      <c r="M20" s="160"/>
      <c r="N20" s="149"/>
      <c r="O20" s="150"/>
      <c r="P20" s="41"/>
      <c r="Q20" s="41"/>
      <c r="R20" s="41"/>
      <c r="S20" s="41"/>
    </row>
    <row r="21" spans="1:19">
      <c r="A21" s="89"/>
      <c r="B21" s="133"/>
      <c r="C21" s="629"/>
      <c r="D21" s="621"/>
      <c r="E21" s="621"/>
      <c r="F21" s="483"/>
      <c r="G21" s="255">
        <v>1</v>
      </c>
      <c r="H21" s="520">
        <f>D21*E21*G21</f>
        <v>0</v>
      </c>
      <c r="I21" s="35"/>
      <c r="J21" s="36"/>
      <c r="K21" s="36"/>
      <c r="L21" s="159"/>
      <c r="M21" s="160"/>
      <c r="N21" s="149"/>
      <c r="O21" s="150"/>
      <c r="P21" s="464"/>
      <c r="Q21" s="41"/>
      <c r="R21" s="41"/>
      <c r="S21" s="37"/>
    </row>
    <row r="22" spans="1:19" ht="16.2" thickBot="1">
      <c r="A22" s="89"/>
      <c r="B22" s="133"/>
      <c r="C22" s="629"/>
      <c r="D22" s="483"/>
      <c r="E22" s="483"/>
      <c r="F22" s="483"/>
      <c r="G22" s="255"/>
      <c r="H22" s="556"/>
      <c r="I22" s="35">
        <v>1.2</v>
      </c>
      <c r="J22" s="36"/>
      <c r="K22" s="36"/>
      <c r="L22" s="159">
        <v>60</v>
      </c>
      <c r="M22" s="160">
        <f>L22*I22*H22</f>
        <v>0</v>
      </c>
      <c r="N22" s="149">
        <f>L22*1.5</f>
        <v>90</v>
      </c>
      <c r="O22" s="150">
        <f>N22*I22*H22</f>
        <v>0</v>
      </c>
      <c r="P22" s="37"/>
      <c r="Q22" s="37"/>
      <c r="R22" s="37"/>
      <c r="S22" s="37"/>
    </row>
    <row r="23" spans="1:19" ht="16.2" thickTop="1">
      <c r="A23" s="89"/>
      <c r="B23" s="133"/>
      <c r="C23" s="629"/>
      <c r="D23" s="483"/>
      <c r="E23" s="483"/>
      <c r="F23" s="483"/>
      <c r="G23" s="255"/>
      <c r="H23" s="520"/>
      <c r="I23" s="35"/>
      <c r="J23" s="36"/>
      <c r="K23" s="36"/>
      <c r="L23" s="159"/>
      <c r="M23" s="160"/>
      <c r="N23" s="149"/>
      <c r="O23" s="150"/>
      <c r="P23" s="41"/>
      <c r="Q23" s="37"/>
      <c r="R23" s="37"/>
      <c r="S23" s="41"/>
    </row>
    <row r="24" spans="1:19">
      <c r="A24" s="89"/>
      <c r="B24" s="133"/>
      <c r="C24" s="629"/>
      <c r="D24" s="483"/>
      <c r="E24" s="483"/>
      <c r="F24" s="483"/>
      <c r="G24" s="255"/>
      <c r="H24" s="520"/>
      <c r="I24" s="35"/>
      <c r="J24" s="36"/>
      <c r="K24" s="36"/>
      <c r="L24" s="159"/>
      <c r="M24" s="160"/>
      <c r="N24" s="149"/>
      <c r="O24" s="150"/>
      <c r="P24" s="41"/>
      <c r="Q24" s="41"/>
      <c r="R24" s="41"/>
      <c r="S24" s="41"/>
    </row>
    <row r="25" spans="1:19">
      <c r="A25" s="89"/>
      <c r="B25" s="143" t="s">
        <v>308</v>
      </c>
      <c r="C25" s="43"/>
      <c r="D25" s="483"/>
      <c r="E25" s="483"/>
      <c r="F25" s="483"/>
      <c r="G25" s="255"/>
      <c r="H25" s="520"/>
      <c r="I25" s="35"/>
      <c r="J25" s="36"/>
      <c r="K25" s="36"/>
      <c r="L25" s="159"/>
      <c r="M25" s="160"/>
      <c r="N25" s="149"/>
      <c r="O25" s="150"/>
      <c r="P25" s="41"/>
      <c r="Q25" s="41"/>
      <c r="R25" s="41"/>
      <c r="S25" s="41"/>
    </row>
    <row r="26" spans="1:19">
      <c r="A26" s="89"/>
      <c r="B26" s="133"/>
      <c r="C26" s="629"/>
      <c r="D26" s="483"/>
      <c r="E26" s="483"/>
      <c r="F26" s="483"/>
      <c r="G26" s="255" t="s">
        <v>12</v>
      </c>
      <c r="H26" s="298"/>
      <c r="I26" s="35"/>
      <c r="J26" s="36"/>
      <c r="K26" s="36"/>
      <c r="L26" s="159"/>
      <c r="M26" s="160"/>
      <c r="N26" s="149"/>
      <c r="O26" s="150"/>
      <c r="P26" s="37"/>
      <c r="Q26" s="37"/>
      <c r="R26" s="37"/>
      <c r="S26" s="37"/>
    </row>
    <row r="27" spans="1:19">
      <c r="A27" s="89"/>
      <c r="B27" s="133"/>
      <c r="C27" s="629" t="s">
        <v>258</v>
      </c>
      <c r="D27" s="483">
        <f>H8</f>
        <v>890</v>
      </c>
      <c r="E27" s="483" t="s">
        <v>309</v>
      </c>
      <c r="F27" s="483">
        <f>H22</f>
        <v>0</v>
      </c>
      <c r="G27" s="33">
        <v>1</v>
      </c>
      <c r="H27" s="520">
        <f>H8</f>
        <v>890</v>
      </c>
      <c r="I27" s="35"/>
      <c r="J27" s="36"/>
      <c r="K27" s="36"/>
      <c r="L27" s="159"/>
      <c r="M27" s="160"/>
      <c r="N27" s="149"/>
      <c r="O27" s="150"/>
      <c r="P27" s="41"/>
      <c r="Q27" s="37"/>
      <c r="R27" s="37"/>
      <c r="S27" s="41"/>
    </row>
    <row r="28" spans="1:19">
      <c r="A28" s="89"/>
      <c r="B28" s="133"/>
      <c r="C28" s="629"/>
      <c r="D28" s="483"/>
      <c r="E28" s="483"/>
      <c r="F28" s="483"/>
      <c r="G28" s="33">
        <v>1</v>
      </c>
      <c r="H28" s="520">
        <f>D28*E28</f>
        <v>0</v>
      </c>
      <c r="I28" s="35"/>
      <c r="J28" s="36"/>
      <c r="K28" s="36"/>
      <c r="L28" s="159"/>
      <c r="M28" s="160"/>
      <c r="N28" s="149"/>
      <c r="O28" s="150"/>
      <c r="P28" s="41"/>
      <c r="Q28" s="41"/>
      <c r="R28" s="41"/>
      <c r="S28" s="41"/>
    </row>
    <row r="29" spans="1:19">
      <c r="A29" s="89"/>
      <c r="B29" s="133"/>
      <c r="C29" s="629"/>
      <c r="D29" s="483"/>
      <c r="E29" s="483"/>
      <c r="F29" s="483"/>
      <c r="G29" s="33">
        <v>1</v>
      </c>
      <c r="H29" s="520">
        <f>D29*E29</f>
        <v>0</v>
      </c>
      <c r="I29" s="35"/>
      <c r="J29" s="36"/>
      <c r="K29" s="36"/>
      <c r="L29" s="159"/>
      <c r="M29" s="160"/>
      <c r="N29" s="149"/>
      <c r="O29" s="150"/>
      <c r="P29" s="41"/>
      <c r="Q29" s="41"/>
      <c r="R29" s="41"/>
      <c r="S29" s="41"/>
    </row>
    <row r="30" spans="1:19">
      <c r="A30" s="89"/>
      <c r="B30" s="133"/>
      <c r="C30" s="629"/>
      <c r="D30" s="483"/>
      <c r="E30" s="483"/>
      <c r="F30" s="483"/>
      <c r="G30" s="33">
        <v>1</v>
      </c>
      <c r="H30" s="520">
        <f>D30*E30</f>
        <v>0</v>
      </c>
      <c r="I30" s="35"/>
      <c r="J30" s="36"/>
      <c r="K30" s="36"/>
      <c r="L30" s="159"/>
      <c r="M30" s="160"/>
      <c r="N30" s="149"/>
      <c r="O30" s="150"/>
      <c r="P30" s="464"/>
      <c r="Q30" s="41"/>
      <c r="R30" s="41"/>
      <c r="S30" s="41"/>
    </row>
    <row r="31" spans="1:19">
      <c r="A31" s="89"/>
      <c r="B31" s="133"/>
      <c r="C31" s="629"/>
      <c r="D31" s="483"/>
      <c r="E31" s="483"/>
      <c r="F31" s="483"/>
      <c r="G31" s="33">
        <v>1</v>
      </c>
      <c r="H31" s="520">
        <f>D31*E31</f>
        <v>0</v>
      </c>
      <c r="I31" s="35"/>
      <c r="J31" s="36"/>
      <c r="K31" s="36"/>
      <c r="L31" s="159"/>
      <c r="M31" s="160"/>
      <c r="N31" s="149"/>
      <c r="O31" s="150"/>
      <c r="P31" s="37"/>
      <c r="Q31" s="37"/>
      <c r="R31" s="37"/>
      <c r="S31" s="37"/>
    </row>
    <row r="32" spans="1:19" ht="16.2" thickBot="1">
      <c r="A32" s="89"/>
      <c r="B32" s="133"/>
      <c r="G32" s="297"/>
      <c r="H32" s="556">
        <f>SUM(H27:H31)</f>
        <v>890</v>
      </c>
      <c r="I32" s="35">
        <v>1.1000000000000001</v>
      </c>
      <c r="J32" s="36"/>
      <c r="K32" s="36"/>
      <c r="L32" s="159">
        <v>65</v>
      </c>
      <c r="M32" s="160">
        <f>L32*I32*H32</f>
        <v>63635</v>
      </c>
      <c r="N32" s="149">
        <f>L32*1.5</f>
        <v>97.5</v>
      </c>
      <c r="O32" s="150">
        <f>N32*I32*H32</f>
        <v>95452.500000000015</v>
      </c>
      <c r="P32" s="41"/>
      <c r="Q32" s="37"/>
      <c r="R32" s="37"/>
      <c r="S32" s="37"/>
    </row>
    <row r="33" spans="1:27" ht="16.2" thickTop="1">
      <c r="A33" s="89"/>
      <c r="B33" s="133"/>
      <c r="C33" s="629"/>
      <c r="D33" s="483"/>
      <c r="E33" s="483"/>
      <c r="F33" s="483"/>
      <c r="G33" s="33"/>
      <c r="H33" s="298"/>
      <c r="I33" s="35"/>
      <c r="J33" s="36"/>
      <c r="K33" s="36"/>
      <c r="L33" s="159"/>
      <c r="M33" s="160"/>
      <c r="N33" s="149"/>
      <c r="O33" s="150"/>
      <c r="P33" s="41"/>
      <c r="Q33" s="41"/>
      <c r="R33" s="41"/>
      <c r="S33" s="41"/>
    </row>
    <row r="34" spans="1:27">
      <c r="A34" s="89"/>
      <c r="B34" s="133"/>
      <c r="C34" s="629" t="s">
        <v>310</v>
      </c>
      <c r="D34" s="483"/>
      <c r="E34" s="483"/>
      <c r="F34" s="483"/>
      <c r="G34" s="255"/>
      <c r="H34" s="707">
        <v>0</v>
      </c>
      <c r="I34" s="35"/>
      <c r="J34" s="36"/>
      <c r="K34" s="36"/>
      <c r="L34" s="159">
        <v>17</v>
      </c>
      <c r="M34" s="160">
        <f>H34*L34</f>
        <v>0</v>
      </c>
      <c r="N34" s="149">
        <f>L34*1.5</f>
        <v>25.5</v>
      </c>
      <c r="O34" s="150">
        <f>N34*H34</f>
        <v>0</v>
      </c>
      <c r="P34" s="41"/>
      <c r="Q34" s="41"/>
      <c r="R34" s="41"/>
      <c r="S34" s="41"/>
    </row>
    <row r="35" spans="1:27">
      <c r="A35" s="89"/>
      <c r="B35" s="133"/>
      <c r="C35" s="629"/>
      <c r="D35" s="483"/>
      <c r="E35" s="483"/>
      <c r="F35" s="483"/>
      <c r="G35" s="33"/>
      <c r="H35" s="520"/>
      <c r="I35" s="35"/>
      <c r="J35" s="36"/>
      <c r="K35" s="36"/>
      <c r="L35" s="159"/>
      <c r="M35" s="160"/>
      <c r="N35" s="149"/>
      <c r="O35" s="150"/>
      <c r="P35" s="37"/>
      <c r="Q35" s="41"/>
      <c r="R35" s="41"/>
      <c r="S35" s="41"/>
    </row>
    <row r="36" spans="1:27">
      <c r="A36" s="89"/>
      <c r="B36" s="133"/>
      <c r="C36" s="629"/>
      <c r="D36" s="483"/>
      <c r="E36" s="483"/>
      <c r="F36" s="483"/>
      <c r="G36" s="255"/>
      <c r="H36" s="298"/>
      <c r="I36" s="35"/>
      <c r="J36" s="36"/>
      <c r="K36" s="36"/>
      <c r="L36" s="159"/>
      <c r="M36" s="160"/>
      <c r="N36" s="149"/>
      <c r="O36" s="150"/>
      <c r="P36" s="37"/>
      <c r="Q36" s="37"/>
      <c r="R36" s="37"/>
      <c r="S36" s="37"/>
    </row>
    <row r="37" spans="1:27" ht="16.2" thickBot="1">
      <c r="A37" s="89"/>
      <c r="B37" s="143" t="s">
        <v>157</v>
      </c>
      <c r="C37" s="43"/>
      <c r="D37" s="483"/>
      <c r="E37" s="483"/>
      <c r="F37" s="483"/>
      <c r="G37" s="255"/>
      <c r="H37" s="520"/>
      <c r="I37" s="35"/>
      <c r="J37" s="236"/>
      <c r="K37" s="236"/>
      <c r="L37" s="159"/>
      <c r="M37" s="160"/>
      <c r="N37" s="149"/>
      <c r="O37" s="150"/>
      <c r="P37" s="41"/>
      <c r="Q37" s="37"/>
      <c r="R37" s="37"/>
      <c r="S37" s="37"/>
    </row>
    <row r="38" spans="1:27" ht="16.2" thickBot="1">
      <c r="A38" s="89"/>
      <c r="B38" s="133"/>
      <c r="C38" s="629"/>
      <c r="D38" s="483">
        <f>H8</f>
        <v>890</v>
      </c>
      <c r="E38" s="759"/>
      <c r="F38" s="760">
        <v>2</v>
      </c>
      <c r="G38" s="255" t="s">
        <v>12</v>
      </c>
      <c r="H38" s="520">
        <f>D38*F38</f>
        <v>1780</v>
      </c>
      <c r="I38" s="41"/>
      <c r="J38" s="41"/>
      <c r="K38" s="469" t="s">
        <v>55</v>
      </c>
      <c r="L38" s="410">
        <f>VLOOKUP(K38,Costings!$A$13:$D$26,4, FALSE)</f>
        <v>5.8</v>
      </c>
      <c r="M38" s="617">
        <f>H38*L38</f>
        <v>10324</v>
      </c>
      <c r="N38" s="727">
        <f>L38*1.5</f>
        <v>8.6999999999999993</v>
      </c>
      <c r="O38" s="667">
        <f>N38*H38</f>
        <v>15485.999999999998</v>
      </c>
      <c r="P38" s="41"/>
      <c r="Q38" s="750" t="s">
        <v>298</v>
      </c>
      <c r="R38" s="751"/>
      <c r="S38" s="751"/>
      <c r="T38" s="800" t="s">
        <v>78</v>
      </c>
      <c r="U38" s="752">
        <f>VLOOKUP(T38,Costings!$A$26:$D$40,4, FALSE)</f>
        <v>6.944</v>
      </c>
      <c r="V38" s="753">
        <f>U38*U38*1.2</f>
        <v>57.862963199999996</v>
      </c>
      <c r="W38" s="754">
        <f>U38*1.5</f>
        <v>10.416</v>
      </c>
      <c r="X38" s="755" t="e">
        <f>W38*Q38*1.2</f>
        <v>#VALUE!</v>
      </c>
    </row>
    <row r="39" spans="1:27" ht="16.2" thickBot="1">
      <c r="A39" s="89"/>
      <c r="B39" s="133"/>
      <c r="C39" s="629"/>
      <c r="D39" s="483">
        <f>H8</f>
        <v>890</v>
      </c>
      <c r="E39" s="759"/>
      <c r="F39" s="760">
        <v>1</v>
      </c>
      <c r="G39" s="255" t="s">
        <v>12</v>
      </c>
      <c r="H39" s="520">
        <f>D39*F39</f>
        <v>890</v>
      </c>
      <c r="I39" s="41"/>
      <c r="J39" s="41"/>
      <c r="K39" s="469" t="s">
        <v>56</v>
      </c>
      <c r="L39" s="410">
        <f>VLOOKUP(K39,Costings!$A$13:$D$26,4, FALSE)</f>
        <v>7.1999999999999993</v>
      </c>
      <c r="M39" s="617">
        <f>H39*L39</f>
        <v>6407.9999999999991</v>
      </c>
      <c r="N39" s="727">
        <f>L39*1.5</f>
        <v>10.799999999999999</v>
      </c>
      <c r="O39" s="667">
        <f>N39*H39</f>
        <v>9611.9999999999982</v>
      </c>
      <c r="P39" s="41"/>
      <c r="Q39" s="756" t="s">
        <v>299</v>
      </c>
      <c r="R39" s="41"/>
      <c r="S39" s="41"/>
      <c r="T39" s="469" t="s">
        <v>61</v>
      </c>
      <c r="U39" s="410">
        <f>VLOOKUP(T39,Costings!$A$13:$D$26,4, FALSE)</f>
        <v>10.5</v>
      </c>
      <c r="V39" s="617" t="e">
        <f>Q39*U39</f>
        <v>#VALUE!</v>
      </c>
      <c r="W39" s="727">
        <f>U39*1.5</f>
        <v>15.75</v>
      </c>
      <c r="X39" s="667" t="e">
        <f>W39*Q39</f>
        <v>#VALUE!</v>
      </c>
    </row>
    <row r="40" spans="1:27" ht="16.2" thickBot="1">
      <c r="A40" s="89"/>
      <c r="B40" s="133"/>
      <c r="C40" s="629"/>
      <c r="D40" s="483">
        <v>150</v>
      </c>
      <c r="E40" s="483"/>
      <c r="F40" s="483">
        <v>1</v>
      </c>
      <c r="G40" s="255" t="s">
        <v>12</v>
      </c>
      <c r="H40" s="520">
        <f>D40*F40</f>
        <v>150</v>
      </c>
      <c r="I40" s="759">
        <v>200</v>
      </c>
      <c r="J40" s="760">
        <f>VLOOKUP(I40,Costings!$G$14:$I$20,2)</f>
        <v>5</v>
      </c>
      <c r="K40" s="801" t="s">
        <v>39</v>
      </c>
      <c r="L40" s="761">
        <f>VLOOKUP(K40,Costings!$A$2:$E$10,5, FALSE)</f>
        <v>3.5914578699999997</v>
      </c>
      <c r="M40" s="762">
        <f>H40*L40*1.2</f>
        <v>646.46241659999998</v>
      </c>
      <c r="N40" s="763">
        <f>L40*1.5</f>
        <v>5.3871868049999998</v>
      </c>
      <c r="O40" s="764">
        <f>N40*H40*1.2</f>
        <v>969.69362489999992</v>
      </c>
      <c r="P40" s="41"/>
      <c r="Q40" s="756" t="s">
        <v>300</v>
      </c>
      <c r="R40" s="620">
        <v>5</v>
      </c>
      <c r="S40" s="80"/>
      <c r="T40" s="797" t="s">
        <v>40</v>
      </c>
      <c r="U40" s="410">
        <f>VLOOKUP(T40,Costings!$A$2:$E$10,4, FALSE)</f>
        <v>3.2922890000000002</v>
      </c>
      <c r="V40" s="618" t="e">
        <f>#REF!*R40*U40</f>
        <v>#REF!</v>
      </c>
      <c r="W40" s="727">
        <f>U40*1.5</f>
        <v>4.9384335000000004</v>
      </c>
      <c r="X40" s="757" t="e">
        <f>#REF!*R40*W40</f>
        <v>#REF!</v>
      </c>
    </row>
    <row r="41" spans="1:27" ht="16.2" thickBot="1">
      <c r="A41" s="89"/>
      <c r="B41" s="133"/>
      <c r="C41" s="629"/>
      <c r="D41" s="483"/>
      <c r="E41" s="483"/>
      <c r="F41" s="483"/>
      <c r="G41" s="255" t="s">
        <v>12</v>
      </c>
      <c r="H41" s="520"/>
      <c r="I41" s="734"/>
      <c r="J41" s="36"/>
      <c r="K41" s="36"/>
      <c r="L41" s="418"/>
      <c r="M41" s="431"/>
      <c r="N41" s="396"/>
      <c r="O41" s="146"/>
      <c r="P41" s="41"/>
      <c r="Q41" s="758" t="s">
        <v>301</v>
      </c>
      <c r="R41" s="759">
        <v>200</v>
      </c>
      <c r="S41" s="760">
        <f>VLOOKUP(R41,Costings!$G$14:$I$20,3)</f>
        <v>10</v>
      </c>
      <c r="T41" s="801" t="s">
        <v>40</v>
      </c>
      <c r="U41" s="761">
        <f>VLOOKUP(T41,Costings!$A$2:$E$10,5, FALSE)</f>
        <v>6.3541177700000011</v>
      </c>
      <c r="V41" s="762" t="e">
        <f>#REF!*U41*1.2</f>
        <v>#REF!</v>
      </c>
      <c r="W41" s="763">
        <f>U41*1.5</f>
        <v>9.5311766550000012</v>
      </c>
      <c r="X41" s="764" t="e">
        <f>W41*#REF!*1.2</f>
        <v>#REF!</v>
      </c>
    </row>
    <row r="42" spans="1:27">
      <c r="A42" s="89"/>
      <c r="B42" s="133"/>
      <c r="C42" s="629"/>
      <c r="D42" s="483"/>
      <c r="E42" s="483"/>
      <c r="F42" s="483"/>
      <c r="G42" s="255" t="s">
        <v>12</v>
      </c>
      <c r="H42" s="520"/>
      <c r="I42" s="734"/>
      <c r="J42" s="36"/>
      <c r="K42" s="36"/>
      <c r="L42" s="418"/>
      <c r="M42" s="431"/>
      <c r="N42" s="396"/>
      <c r="O42" s="146"/>
      <c r="P42" s="464"/>
      <c r="S42" s="41"/>
    </row>
    <row r="43" spans="1:27">
      <c r="A43" s="89"/>
      <c r="B43" s="133"/>
      <c r="G43" s="255"/>
      <c r="H43" s="540"/>
      <c r="I43" s="35"/>
      <c r="J43" s="236"/>
      <c r="K43" s="236"/>
      <c r="L43" s="159"/>
      <c r="M43" s="160"/>
      <c r="N43" s="149"/>
      <c r="O43" s="150"/>
      <c r="P43" s="37"/>
    </row>
    <row r="44" spans="1:27" ht="16.2" thickBot="1">
      <c r="A44" s="89"/>
      <c r="B44" s="133"/>
      <c r="C44" s="43" t="s">
        <v>311</v>
      </c>
      <c r="D44" s="483">
        <v>390</v>
      </c>
      <c r="E44" s="483"/>
      <c r="F44" s="483">
        <v>4</v>
      </c>
      <c r="G44" s="33"/>
      <c r="H44" s="556">
        <f>D44*F44</f>
        <v>1560</v>
      </c>
      <c r="I44" s="35"/>
      <c r="J44" s="36"/>
      <c r="K44" s="36"/>
      <c r="L44" s="159">
        <v>0.5</v>
      </c>
      <c r="M44" s="160">
        <f>H44*L44</f>
        <v>780</v>
      </c>
      <c r="N44" s="149">
        <f>L44*1.5</f>
        <v>0.75</v>
      </c>
      <c r="O44" s="150">
        <f>H44*N44</f>
        <v>1170</v>
      </c>
      <c r="P44" s="41"/>
    </row>
    <row r="45" spans="1:27" ht="16.2" thickTop="1">
      <c r="A45" s="89"/>
      <c r="B45" s="133"/>
      <c r="C45" s="43"/>
      <c r="D45" s="483"/>
      <c r="E45" s="483"/>
      <c r="F45" s="483"/>
      <c r="G45" s="33"/>
      <c r="H45" s="520"/>
      <c r="I45" s="35"/>
      <c r="J45" s="36"/>
      <c r="K45" s="36"/>
      <c r="L45" s="159"/>
      <c r="M45" s="160"/>
      <c r="N45" s="149"/>
      <c r="O45" s="150"/>
    </row>
    <row r="46" spans="1:27">
      <c r="A46" s="89"/>
      <c r="B46" s="133"/>
      <c r="C46" s="43"/>
      <c r="D46" s="483"/>
      <c r="E46" s="483"/>
      <c r="F46" s="483"/>
      <c r="G46" s="33"/>
      <c r="H46" s="520"/>
      <c r="I46" s="35"/>
      <c r="J46" s="36"/>
      <c r="K46" s="36"/>
      <c r="L46" s="159"/>
      <c r="M46" s="160"/>
      <c r="N46" s="149"/>
      <c r="O46" s="150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</row>
    <row r="47" spans="1:27" ht="16.2" thickBot="1">
      <c r="A47" s="89"/>
      <c r="B47" s="133"/>
      <c r="C47" s="452" t="s">
        <v>312</v>
      </c>
      <c r="D47" s="483"/>
      <c r="E47" s="483"/>
      <c r="F47" s="483"/>
      <c r="G47" s="33"/>
      <c r="H47" s="520"/>
      <c r="I47" s="36"/>
      <c r="J47" s="36"/>
      <c r="K47" s="324"/>
      <c r="L47" s="159"/>
      <c r="M47" s="160"/>
      <c r="N47" s="149"/>
      <c r="O47" s="150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</row>
    <row r="48" spans="1:27" ht="16.2" thickBot="1">
      <c r="A48" s="89"/>
      <c r="B48" s="133"/>
      <c r="C48" s="734"/>
      <c r="D48" s="483"/>
      <c r="E48" s="483"/>
      <c r="F48" s="483"/>
      <c r="G48" s="33"/>
      <c r="H48" s="520"/>
      <c r="I48" s="36"/>
      <c r="J48" s="36"/>
      <c r="K48" s="324"/>
      <c r="L48" s="159"/>
      <c r="M48" s="160"/>
      <c r="N48" s="149"/>
      <c r="O48" s="150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</row>
    <row r="49" spans="1:27" ht="16.2" thickBot="1">
      <c r="A49" s="89"/>
      <c r="B49" s="133"/>
      <c r="C49" s="734"/>
      <c r="D49" s="483"/>
      <c r="E49" s="483"/>
      <c r="F49" s="483"/>
      <c r="G49" s="33"/>
      <c r="H49" s="520"/>
      <c r="I49" s="36"/>
      <c r="J49" s="36"/>
      <c r="K49" s="324"/>
      <c r="L49" s="159"/>
      <c r="M49" s="160"/>
      <c r="N49" s="149"/>
      <c r="O49" s="150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</row>
    <row r="50" spans="1:27" ht="16.2" thickBot="1">
      <c r="A50" s="89"/>
      <c r="B50" s="133"/>
      <c r="C50" s="734"/>
      <c r="D50" s="483"/>
      <c r="E50" s="483"/>
      <c r="F50" s="483"/>
      <c r="G50" s="33"/>
      <c r="H50" s="520"/>
      <c r="I50" s="36"/>
      <c r="J50" s="36"/>
      <c r="K50" s="324"/>
      <c r="L50" s="159"/>
      <c r="M50" s="160"/>
      <c r="N50" s="149"/>
      <c r="O50" s="150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</row>
    <row r="51" spans="1:27" ht="16.2" thickBot="1">
      <c r="A51" s="89"/>
      <c r="B51" s="133"/>
      <c r="C51" s="734"/>
      <c r="D51" s="483"/>
      <c r="E51" s="483"/>
      <c r="F51" s="483"/>
      <c r="G51" s="33"/>
      <c r="H51" s="520"/>
      <c r="I51" s="36"/>
      <c r="J51" s="36"/>
      <c r="K51" s="324"/>
      <c r="L51" s="159"/>
      <c r="M51" s="160"/>
      <c r="N51" s="149"/>
      <c r="O51" s="150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</row>
    <row r="52" spans="1:27">
      <c r="A52" s="89"/>
      <c r="B52" s="133"/>
      <c r="C52" s="734"/>
      <c r="D52" s="483"/>
      <c r="E52" s="483"/>
      <c r="F52" s="483"/>
      <c r="G52" s="33"/>
      <c r="H52" s="520"/>
      <c r="I52" s="36"/>
      <c r="J52" s="36"/>
      <c r="K52" s="324"/>
      <c r="L52" s="159"/>
      <c r="M52" s="160"/>
      <c r="N52" s="149"/>
      <c r="O52" s="150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</row>
    <row r="53" spans="1:27" ht="16.2" thickBot="1">
      <c r="A53" s="89"/>
      <c r="B53" s="133"/>
      <c r="C53" s="43"/>
      <c r="D53" s="483"/>
      <c r="E53" s="483"/>
      <c r="F53" s="483"/>
      <c r="G53" s="33"/>
      <c r="H53" s="520"/>
      <c r="I53" s="35"/>
      <c r="J53" s="36"/>
      <c r="K53" s="36"/>
      <c r="L53" s="159"/>
      <c r="M53" s="160"/>
      <c r="N53" s="149"/>
      <c r="O53" s="150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</row>
    <row r="54" spans="1:27" ht="16.2" thickBot="1">
      <c r="A54" s="89"/>
      <c r="B54" s="133"/>
      <c r="C54" s="43"/>
      <c r="D54" s="483"/>
      <c r="E54" s="483"/>
      <c r="F54" s="483"/>
      <c r="G54" s="33"/>
      <c r="H54" s="520"/>
      <c r="I54" s="734"/>
      <c r="J54" s="36"/>
      <c r="K54" s="36">
        <f>H54*J54/1000</f>
        <v>0</v>
      </c>
      <c r="L54" s="159"/>
      <c r="M54" s="160"/>
      <c r="N54" s="149"/>
      <c r="O54" s="150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</row>
    <row r="55" spans="1:27">
      <c r="A55" s="89"/>
      <c r="B55" s="133"/>
      <c r="C55" s="43"/>
      <c r="D55" s="483"/>
      <c r="E55" s="483"/>
      <c r="F55" s="483"/>
      <c r="G55" s="33"/>
      <c r="H55" s="520"/>
      <c r="I55" s="734"/>
      <c r="J55" s="36"/>
      <c r="K55" s="36">
        <f>H55*J55/1000</f>
        <v>0</v>
      </c>
      <c r="L55" s="159"/>
      <c r="M55" s="160"/>
      <c r="N55" s="149"/>
      <c r="O55" s="150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</row>
    <row r="56" spans="1:27">
      <c r="A56" s="89"/>
      <c r="B56" s="133"/>
      <c r="C56" s="43"/>
      <c r="D56" s="483"/>
      <c r="E56" s="483"/>
      <c r="F56" s="483"/>
      <c r="G56" s="33"/>
      <c r="H56" s="520"/>
      <c r="I56" s="35"/>
      <c r="J56" s="36"/>
      <c r="K56" s="36"/>
      <c r="L56" s="159"/>
      <c r="M56" s="160"/>
      <c r="N56" s="149"/>
      <c r="O56" s="150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</row>
    <row r="57" spans="1:27" ht="16.2" thickBot="1">
      <c r="A57" s="89"/>
      <c r="B57" s="133"/>
      <c r="C57" s="43"/>
      <c r="D57" s="483"/>
      <c r="E57" s="483"/>
      <c r="F57" s="483"/>
      <c r="G57" s="33"/>
      <c r="H57" s="520"/>
      <c r="I57" s="35"/>
      <c r="J57" s="36"/>
      <c r="K57" s="36"/>
      <c r="L57" s="159"/>
      <c r="M57" s="160"/>
      <c r="N57" s="149"/>
      <c r="O57" s="150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</row>
    <row r="58" spans="1:27" ht="16.2" thickBot="1">
      <c r="A58" s="89"/>
      <c r="B58" s="133"/>
      <c r="C58" s="43"/>
      <c r="D58" s="483"/>
      <c r="E58" s="483"/>
      <c r="F58" s="621"/>
      <c r="G58" s="33"/>
      <c r="H58" s="520"/>
      <c r="I58" s="734"/>
      <c r="J58" s="36"/>
      <c r="K58" s="36"/>
      <c r="L58" s="159"/>
      <c r="M58" s="160"/>
      <c r="N58" s="149"/>
      <c r="O58" s="150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</row>
    <row r="59" spans="1:27">
      <c r="A59" s="89"/>
      <c r="B59" s="133"/>
      <c r="C59" s="43"/>
      <c r="D59" s="483"/>
      <c r="E59" s="483"/>
      <c r="F59" s="621"/>
      <c r="G59" s="33"/>
      <c r="H59" s="520"/>
      <c r="I59" s="734"/>
      <c r="J59" s="36"/>
      <c r="K59" s="36"/>
      <c r="L59" s="159"/>
      <c r="M59" s="160"/>
      <c r="N59" s="149"/>
      <c r="O59" s="150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</row>
    <row r="60" spans="1:27">
      <c r="A60" s="89"/>
      <c r="B60" s="133"/>
      <c r="C60" s="43"/>
      <c r="D60" s="483"/>
      <c r="E60" s="483"/>
      <c r="F60" s="483"/>
      <c r="G60" s="33"/>
      <c r="H60" s="520"/>
      <c r="I60" s="35"/>
      <c r="J60" s="36"/>
      <c r="K60" s="36"/>
      <c r="L60" s="159"/>
      <c r="M60" s="160"/>
      <c r="N60" s="149"/>
      <c r="O60" s="150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</row>
    <row r="61" spans="1:27">
      <c r="A61" s="89"/>
      <c r="B61" s="133"/>
      <c r="C61" s="43"/>
      <c r="D61" s="483"/>
      <c r="E61" s="483"/>
      <c r="F61" s="483"/>
      <c r="G61" s="33"/>
      <c r="H61" s="520"/>
      <c r="I61" s="35"/>
      <c r="J61" s="236" t="s">
        <v>313</v>
      </c>
      <c r="K61" s="236"/>
      <c r="L61" s="159">
        <v>1350</v>
      </c>
      <c r="M61" s="160">
        <f>K61*1.1*L61</f>
        <v>0</v>
      </c>
      <c r="N61" s="149">
        <f>L61*1.5</f>
        <v>2025</v>
      </c>
      <c r="O61" s="150">
        <f>N61*K61</f>
        <v>0</v>
      </c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</row>
    <row r="62" spans="1:27">
      <c r="A62" s="89"/>
      <c r="B62" s="133"/>
      <c r="C62" s="43"/>
      <c r="D62" s="483"/>
      <c r="E62" s="483"/>
      <c r="F62" s="483"/>
      <c r="G62" s="33"/>
      <c r="H62" s="520"/>
      <c r="I62" s="35"/>
      <c r="J62" s="36"/>
      <c r="K62" s="36"/>
      <c r="L62" s="160"/>
      <c r="M62" s="160"/>
      <c r="N62" s="149"/>
      <c r="O62" s="150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</row>
    <row r="63" spans="1:27">
      <c r="A63" s="89"/>
      <c r="B63" s="143" t="s">
        <v>314</v>
      </c>
      <c r="C63" s="43"/>
      <c r="D63" s="483"/>
      <c r="E63" s="483"/>
      <c r="F63" s="483"/>
      <c r="G63" s="33"/>
      <c r="H63" s="520"/>
      <c r="I63" s="35"/>
      <c r="J63" s="36"/>
      <c r="K63" s="36"/>
      <c r="L63" s="160"/>
      <c r="M63" s="160"/>
      <c r="N63" s="149"/>
      <c r="O63" s="150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</row>
    <row r="64" spans="1:27">
      <c r="A64" s="89"/>
      <c r="B64" s="133"/>
      <c r="C64" s="629"/>
      <c r="D64" s="483"/>
      <c r="E64" s="483"/>
      <c r="F64" s="483"/>
      <c r="G64" s="33" t="s">
        <v>10</v>
      </c>
      <c r="H64" s="520">
        <v>189</v>
      </c>
      <c r="I64" s="35">
        <v>1.1000000000000001</v>
      </c>
      <c r="J64" s="36"/>
      <c r="K64" s="242" t="s">
        <v>92</v>
      </c>
      <c r="L64" s="159">
        <f>VLOOKUP(K64,Costings!$A$49:$B$59,2)</f>
        <v>166</v>
      </c>
      <c r="M64" s="160">
        <f>H64*I64*L64</f>
        <v>34511.4</v>
      </c>
      <c r="N64" s="149">
        <f>L64*1.5</f>
        <v>249</v>
      </c>
      <c r="O64" s="150">
        <f>H64*I64*N64</f>
        <v>51767.1</v>
      </c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</row>
    <row r="65" spans="1:27">
      <c r="A65" s="89"/>
      <c r="B65" s="133"/>
      <c r="C65" s="629"/>
      <c r="D65" s="483"/>
      <c r="E65" s="483"/>
      <c r="F65" s="483"/>
      <c r="G65" s="33"/>
      <c r="H65" s="520"/>
      <c r="I65" s="35"/>
      <c r="J65" s="36"/>
      <c r="K65" s="36"/>
      <c r="L65" s="159"/>
      <c r="M65" s="160"/>
      <c r="N65" s="149"/>
      <c r="O65" s="150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</row>
    <row r="66" spans="1:27">
      <c r="A66" s="89"/>
      <c r="B66" s="133"/>
      <c r="C66" s="43" t="s">
        <v>315</v>
      </c>
      <c r="D66" s="621">
        <v>0.23</v>
      </c>
      <c r="E66" s="483"/>
      <c r="F66" s="621">
        <v>390</v>
      </c>
      <c r="G66" s="33"/>
      <c r="H66" s="520">
        <f>D66*F66</f>
        <v>89.7</v>
      </c>
      <c r="I66" s="35"/>
      <c r="J66" s="36"/>
      <c r="K66" s="36"/>
      <c r="L66" s="159"/>
      <c r="M66" s="160"/>
      <c r="N66" s="149"/>
      <c r="O66" s="150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</row>
    <row r="67" spans="1:27">
      <c r="A67" s="89"/>
      <c r="B67" s="133"/>
      <c r="C67" s="43" t="s">
        <v>316</v>
      </c>
      <c r="D67" s="483"/>
      <c r="E67" s="483"/>
      <c r="F67" s="483"/>
      <c r="G67" s="33"/>
      <c r="H67" s="520">
        <f>D67*F67</f>
        <v>0</v>
      </c>
      <c r="I67" s="35"/>
      <c r="J67" s="36"/>
      <c r="K67" s="36"/>
      <c r="L67" s="159"/>
      <c r="M67" s="160"/>
      <c r="N67" s="149"/>
      <c r="O67" s="150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</row>
    <row r="68" spans="1:27">
      <c r="A68" s="89"/>
      <c r="B68" s="133"/>
      <c r="C68" s="43" t="s">
        <v>317</v>
      </c>
      <c r="D68" s="476"/>
      <c r="E68" s="476"/>
      <c r="F68" s="716"/>
      <c r="G68" s="33">
        <v>1</v>
      </c>
      <c r="H68" s="520">
        <f>D68*F68</f>
        <v>0</v>
      </c>
      <c r="I68" s="35"/>
      <c r="J68" s="36"/>
      <c r="K68" s="36"/>
      <c r="L68" s="159"/>
      <c r="M68" s="160"/>
      <c r="N68" s="149"/>
      <c r="O68" s="150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</row>
    <row r="69" spans="1:27">
      <c r="A69" s="89"/>
      <c r="B69" s="133"/>
      <c r="C69" s="43" t="s">
        <v>318</v>
      </c>
      <c r="D69" s="476"/>
      <c r="E69" s="476"/>
      <c r="F69" s="716"/>
      <c r="G69" s="255">
        <v>1</v>
      </c>
      <c r="H69" s="520">
        <f>D69*E69*F69*G69</f>
        <v>0</v>
      </c>
      <c r="I69" s="35"/>
      <c r="J69" s="36"/>
      <c r="K69" s="36"/>
      <c r="L69" s="159"/>
      <c r="M69" s="160"/>
      <c r="N69" s="149"/>
      <c r="O69" s="150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</row>
    <row r="70" spans="1:27">
      <c r="A70" s="89"/>
      <c r="B70" s="133"/>
      <c r="C70" s="41"/>
      <c r="D70" s="509"/>
      <c r="E70" s="483"/>
      <c r="F70" s="483"/>
      <c r="G70" s="33"/>
      <c r="H70" s="520">
        <f>D70*F70*G70</f>
        <v>0</v>
      </c>
      <c r="I70" s="35"/>
      <c r="J70" s="36"/>
      <c r="K70" s="36"/>
      <c r="L70" s="159"/>
      <c r="M70" s="160"/>
      <c r="N70" s="149"/>
      <c r="O70" s="150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</row>
    <row r="71" spans="1:27">
      <c r="A71" s="89"/>
      <c r="B71" s="133"/>
      <c r="C71" s="43" t="s">
        <v>237</v>
      </c>
      <c r="D71" s="483"/>
      <c r="E71" s="483"/>
      <c r="F71" s="483"/>
      <c r="G71" s="33"/>
      <c r="H71" s="533">
        <f>D71*E71*F71</f>
        <v>0</v>
      </c>
      <c r="I71" s="35"/>
      <c r="J71" s="36"/>
      <c r="K71" s="36"/>
      <c r="L71" s="159"/>
      <c r="M71" s="160"/>
      <c r="N71" s="149"/>
      <c r="O71" s="150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</row>
    <row r="72" spans="1:27" ht="16.2" thickBot="1">
      <c r="A72" s="88"/>
      <c r="B72" s="131"/>
      <c r="C72" s="43"/>
      <c r="D72" s="483"/>
      <c r="E72" s="483"/>
      <c r="F72" s="483"/>
      <c r="G72" s="33"/>
      <c r="H72" s="556">
        <f>SUM(H66:H69)</f>
        <v>89.7</v>
      </c>
      <c r="I72" s="35"/>
      <c r="J72" s="36"/>
      <c r="K72" s="36"/>
      <c r="L72" s="182"/>
      <c r="M72" s="182"/>
      <c r="N72" s="622"/>
      <c r="O72" s="622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</row>
    <row r="73" spans="1:27" ht="16.2" thickTop="1">
      <c r="A73" s="88"/>
      <c r="B73" s="131"/>
      <c r="C73" s="43"/>
      <c r="D73" s="483"/>
      <c r="E73" s="483"/>
      <c r="F73" s="483"/>
      <c r="G73" s="33"/>
      <c r="H73" s="520"/>
      <c r="I73" s="35"/>
      <c r="J73" s="36"/>
      <c r="K73" s="36"/>
      <c r="L73" s="182"/>
      <c r="M73" s="182"/>
      <c r="N73" s="622"/>
      <c r="O73" s="622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</row>
    <row r="74" spans="1:27">
      <c r="A74" s="88"/>
      <c r="B74" s="131"/>
      <c r="C74" s="38" t="s">
        <v>319</v>
      </c>
      <c r="D74" s="483"/>
      <c r="E74" s="483"/>
      <c r="F74" s="483"/>
      <c r="G74" s="33" t="s">
        <v>12</v>
      </c>
      <c r="H74" s="554">
        <v>890</v>
      </c>
      <c r="I74" s="35">
        <v>1.1000000000000001</v>
      </c>
      <c r="J74" s="36"/>
      <c r="K74" s="36"/>
      <c r="L74" s="155">
        <v>7</v>
      </c>
      <c r="M74" s="156">
        <f>H74*I74*L74</f>
        <v>6853.0000000000009</v>
      </c>
      <c r="N74" s="145">
        <f>L74*1.5</f>
        <v>10.5</v>
      </c>
      <c r="O74" s="146">
        <f>N74*I74*H74</f>
        <v>10279.5</v>
      </c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</row>
    <row r="75" spans="1:27">
      <c r="A75" s="89"/>
      <c r="B75" s="133"/>
      <c r="C75" s="43"/>
      <c r="D75" s="509">
        <f>H8</f>
        <v>890</v>
      </c>
      <c r="E75" s="483"/>
      <c r="F75" s="486"/>
      <c r="G75" s="33"/>
      <c r="H75" s="533">
        <f>D75</f>
        <v>890</v>
      </c>
      <c r="I75" s="35"/>
      <c r="J75" s="36"/>
      <c r="K75" s="36"/>
      <c r="L75" s="159"/>
      <c r="M75" s="160"/>
      <c r="N75" s="149"/>
      <c r="O75" s="150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</row>
    <row r="76" spans="1:27">
      <c r="A76" s="89"/>
      <c r="B76" s="133"/>
      <c r="C76" s="43" t="s">
        <v>237</v>
      </c>
      <c r="D76" s="483"/>
      <c r="E76" s="483"/>
      <c r="F76" s="483"/>
      <c r="G76" s="33"/>
      <c r="H76" s="533">
        <v>0</v>
      </c>
      <c r="I76" s="35"/>
      <c r="J76" s="36"/>
      <c r="K76" s="36"/>
      <c r="L76" s="159"/>
      <c r="M76" s="160"/>
      <c r="N76" s="149"/>
      <c r="O76" s="150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</row>
    <row r="77" spans="1:27" ht="16.2" thickBot="1">
      <c r="A77" s="89"/>
      <c r="B77" s="133"/>
      <c r="C77" s="43"/>
      <c r="D77" s="483"/>
      <c r="E77" s="483"/>
      <c r="F77" s="483"/>
      <c r="G77" s="33"/>
      <c r="H77" s="556">
        <f>SUM(H75:H76)</f>
        <v>890</v>
      </c>
      <c r="I77" s="35"/>
      <c r="J77" s="36"/>
      <c r="K77" s="36"/>
      <c r="L77" s="159"/>
      <c r="M77" s="160"/>
      <c r="N77" s="149"/>
      <c r="O77" s="150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</row>
    <row r="78" spans="1:27" ht="16.2" thickTop="1">
      <c r="A78" s="88"/>
      <c r="B78" s="131"/>
      <c r="C78" s="43"/>
      <c r="D78" s="483"/>
      <c r="E78" s="483"/>
      <c r="F78" s="483"/>
      <c r="G78" s="33"/>
      <c r="H78" s="520"/>
      <c r="I78" s="35"/>
      <c r="J78" s="36"/>
      <c r="K78" s="36"/>
      <c r="L78" s="159"/>
      <c r="M78" s="160"/>
      <c r="N78" s="149"/>
      <c r="O78" s="150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</row>
    <row r="79" spans="1:27">
      <c r="A79" s="88"/>
      <c r="B79" s="131"/>
      <c r="C79" s="38" t="s">
        <v>235</v>
      </c>
      <c r="D79" s="483"/>
      <c r="E79" s="483"/>
      <c r="F79" s="483"/>
      <c r="G79" s="33" t="s">
        <v>236</v>
      </c>
      <c r="H79" s="554">
        <f>H82</f>
        <v>3595.84</v>
      </c>
      <c r="I79" s="35"/>
      <c r="J79" s="36"/>
      <c r="K79" s="36"/>
      <c r="L79" s="155">
        <v>2</v>
      </c>
      <c r="M79" s="156">
        <f>H79*L79</f>
        <v>7191.68</v>
      </c>
      <c r="N79" s="145">
        <f>L79*1.5</f>
        <v>3</v>
      </c>
      <c r="O79" s="146">
        <f>N79*H79</f>
        <v>10787.52</v>
      </c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</row>
    <row r="80" spans="1:27">
      <c r="A80" s="89"/>
      <c r="B80" s="133"/>
      <c r="C80" s="43"/>
      <c r="D80" s="483">
        <v>227</v>
      </c>
      <c r="E80" s="476">
        <v>8</v>
      </c>
      <c r="F80" s="486"/>
      <c r="G80" s="33"/>
      <c r="H80" s="533">
        <f>D80*E80</f>
        <v>1816</v>
      </c>
      <c r="I80" s="35"/>
      <c r="J80" s="36"/>
      <c r="K80" s="36"/>
      <c r="L80" s="159"/>
      <c r="M80" s="160"/>
      <c r="N80" s="149"/>
      <c r="O80" s="150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</row>
    <row r="81" spans="1:27">
      <c r="A81" s="89"/>
      <c r="B81" s="133"/>
      <c r="C81" s="43" t="s">
        <v>237</v>
      </c>
      <c r="D81" s="483">
        <v>222.48</v>
      </c>
      <c r="E81" s="483">
        <v>8</v>
      </c>
      <c r="F81" s="483"/>
      <c r="G81" s="33"/>
      <c r="H81" s="533">
        <f>D81*E81</f>
        <v>1779.84</v>
      </c>
      <c r="I81" s="35"/>
      <c r="J81" s="36"/>
      <c r="K81" s="36"/>
      <c r="L81" s="159"/>
      <c r="M81" s="160"/>
      <c r="N81" s="149"/>
      <c r="O81" s="150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</row>
    <row r="82" spans="1:27" ht="16.2" thickBot="1">
      <c r="A82" s="89"/>
      <c r="B82" s="133"/>
      <c r="C82" s="43"/>
      <c r="D82" s="483"/>
      <c r="E82" s="483"/>
      <c r="F82" s="483"/>
      <c r="G82" s="33"/>
      <c r="H82" s="556">
        <f>SUM(H80:H81)</f>
        <v>3595.84</v>
      </c>
      <c r="I82" s="35"/>
      <c r="J82" s="36"/>
      <c r="K82" s="36"/>
      <c r="L82" s="157"/>
      <c r="M82" s="158"/>
      <c r="N82" s="147"/>
      <c r="O82" s="148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</row>
    <row r="83" spans="1:27" ht="16.2" thickTop="1">
      <c r="A83" s="89"/>
      <c r="B83" s="133"/>
      <c r="C83" s="43"/>
      <c r="D83" s="483"/>
      <c r="E83" s="483"/>
      <c r="F83" s="483"/>
      <c r="G83" s="33"/>
      <c r="H83" s="520"/>
      <c r="I83" s="35"/>
      <c r="J83" s="36"/>
      <c r="K83" s="36"/>
      <c r="L83" s="157"/>
      <c r="M83" s="158"/>
      <c r="N83" s="147"/>
      <c r="O83" s="148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</row>
    <row r="84" spans="1:27">
      <c r="A84" s="91"/>
      <c r="B84" s="166" t="s">
        <v>134</v>
      </c>
      <c r="C84" s="24"/>
      <c r="D84" s="483"/>
      <c r="E84" s="483"/>
      <c r="F84" s="483"/>
      <c r="G84" s="33"/>
      <c r="H84" s="554"/>
      <c r="I84" s="17"/>
      <c r="J84" s="20"/>
      <c r="K84" s="20"/>
      <c r="L84" s="182"/>
      <c r="M84" s="182"/>
      <c r="N84" s="181"/>
      <c r="O84" s="18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</row>
    <row r="85" spans="1:27">
      <c r="A85" s="91"/>
      <c r="B85" s="166"/>
      <c r="C85" s="24"/>
      <c r="D85" s="483" t="s">
        <v>135</v>
      </c>
      <c r="E85" s="483" t="s">
        <v>136</v>
      </c>
      <c r="F85" s="483" t="s">
        <v>137</v>
      </c>
      <c r="G85" s="33"/>
      <c r="H85" s="558"/>
      <c r="I85" s="17"/>
      <c r="J85" s="20"/>
      <c r="K85" s="20"/>
      <c r="L85" s="182"/>
      <c r="M85" s="182"/>
      <c r="N85" s="181"/>
      <c r="O85" s="18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</row>
    <row r="86" spans="1:27">
      <c r="A86" s="91"/>
      <c r="B86" s="130"/>
      <c r="C86" s="86" t="s">
        <v>260</v>
      </c>
      <c r="D86" s="507">
        <v>4</v>
      </c>
      <c r="E86" s="502">
        <v>8</v>
      </c>
      <c r="F86" s="502">
        <v>26</v>
      </c>
      <c r="G86" s="33"/>
      <c r="H86" s="559">
        <f>D86*E86*F86</f>
        <v>832</v>
      </c>
      <c r="I86" s="87"/>
      <c r="J86" s="20"/>
      <c r="K86" s="20"/>
      <c r="L86" s="157">
        <v>75</v>
      </c>
      <c r="M86" s="158">
        <f>H86*L86</f>
        <v>62400</v>
      </c>
      <c r="N86" s="147">
        <f>L86*1.5</f>
        <v>112.5</v>
      </c>
      <c r="O86" s="148">
        <f>N86*H86</f>
        <v>93600</v>
      </c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</row>
    <row r="87" spans="1:27">
      <c r="A87" s="91"/>
      <c r="B87" s="130"/>
      <c r="C87" s="86" t="s">
        <v>320</v>
      </c>
      <c r="D87" s="507">
        <v>0</v>
      </c>
      <c r="E87" s="502">
        <v>8</v>
      </c>
      <c r="F87" s="502">
        <v>5</v>
      </c>
      <c r="G87" s="33"/>
      <c r="H87" s="559">
        <f>D87*E87*F87</f>
        <v>0</v>
      </c>
      <c r="I87" s="87"/>
      <c r="J87" s="20"/>
      <c r="K87" s="20"/>
      <c r="L87" s="157">
        <v>100</v>
      </c>
      <c r="M87" s="158">
        <f>F87*E87*L87</f>
        <v>4000</v>
      </c>
      <c r="N87" s="147">
        <f>L87*1.5</f>
        <v>150</v>
      </c>
      <c r="O87" s="148">
        <f>N87*H87</f>
        <v>0</v>
      </c>
      <c r="P87" s="41"/>
      <c r="Q87" s="41"/>
      <c r="R87" s="164"/>
      <c r="S87" s="22"/>
      <c r="T87" s="22"/>
      <c r="U87" s="22"/>
      <c r="V87" s="22"/>
      <c r="W87" s="22"/>
      <c r="X87" s="22"/>
      <c r="Y87" s="22"/>
      <c r="Z87" s="22"/>
      <c r="AA87" s="22"/>
    </row>
    <row r="88" spans="1:27">
      <c r="A88" s="88"/>
      <c r="B88" s="131"/>
      <c r="C88" s="43"/>
      <c r="D88" s="502"/>
      <c r="E88" s="502"/>
      <c r="F88" s="502"/>
      <c r="G88" s="33"/>
      <c r="H88" s="559"/>
      <c r="I88" s="87"/>
      <c r="J88" s="20"/>
      <c r="K88" s="20"/>
      <c r="L88" s="182"/>
      <c r="M88" s="182"/>
      <c r="N88" s="181"/>
      <c r="O88" s="181"/>
      <c r="P88" s="464"/>
      <c r="Q88" s="465"/>
      <c r="R88" s="466"/>
      <c r="S88" s="37"/>
      <c r="T88" s="37"/>
      <c r="U88" s="37"/>
      <c r="V88" s="37"/>
      <c r="W88" s="37"/>
      <c r="X88" s="37"/>
      <c r="Y88" s="37"/>
      <c r="Z88" s="37"/>
      <c r="AA88" s="37"/>
    </row>
    <row r="89" spans="1:27">
      <c r="A89" s="91"/>
      <c r="B89" s="130"/>
      <c r="C89" s="84" t="s">
        <v>321</v>
      </c>
      <c r="D89" s="483"/>
      <c r="E89" s="483"/>
      <c r="F89" s="483"/>
      <c r="G89" s="33"/>
      <c r="H89" s="520">
        <v>5</v>
      </c>
      <c r="I89" s="17" t="s">
        <v>158</v>
      </c>
      <c r="J89" s="20">
        <v>1</v>
      </c>
      <c r="K89" s="20"/>
      <c r="L89" s="157">
        <v>750</v>
      </c>
      <c r="M89" s="158">
        <f>H89*J89*L89</f>
        <v>3750</v>
      </c>
      <c r="N89" s="147">
        <f>L89*1.5</f>
        <v>1125</v>
      </c>
      <c r="O89" s="148">
        <f>N89*J89*H89</f>
        <v>5625</v>
      </c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</row>
    <row r="90" spans="1:27">
      <c r="A90" s="91"/>
      <c r="B90" s="130"/>
      <c r="C90" s="84"/>
      <c r="D90" s="483"/>
      <c r="E90" s="483"/>
      <c r="F90" s="483"/>
      <c r="G90" s="33"/>
      <c r="H90" s="520"/>
      <c r="I90" s="17"/>
      <c r="J90" s="20"/>
      <c r="K90" s="20"/>
      <c r="L90" s="157"/>
      <c r="M90" s="623"/>
      <c r="N90" s="147"/>
      <c r="O90" s="148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</row>
    <row r="91" spans="1:27">
      <c r="A91" s="88"/>
      <c r="B91" s="131"/>
      <c r="C91" s="38"/>
      <c r="D91" s="483"/>
      <c r="E91" s="483"/>
      <c r="F91" s="483"/>
      <c r="G91" s="33"/>
      <c r="H91" s="520"/>
      <c r="I91" s="35"/>
      <c r="J91" s="36"/>
      <c r="K91" s="36"/>
      <c r="L91" s="163">
        <f>M92/H8</f>
        <v>225.2803847377528</v>
      </c>
      <c r="M91" s="156"/>
      <c r="N91" s="153">
        <f>O92/H8</f>
        <v>331.17900407292137</v>
      </c>
      <c r="O91" s="146"/>
    </row>
    <row r="92" spans="1:27">
      <c r="A92" s="90"/>
      <c r="B92" s="132"/>
      <c r="C92" s="67"/>
      <c r="D92" s="499"/>
      <c r="E92" s="499"/>
      <c r="F92" s="499"/>
      <c r="G92" s="69"/>
      <c r="H92" s="528"/>
      <c r="I92" s="75"/>
      <c r="J92" s="76"/>
      <c r="K92" s="77"/>
      <c r="L92" s="154" t="s">
        <v>140</v>
      </c>
      <c r="M92" s="154">
        <f>SUM(M5:M91)</f>
        <v>200499.54241659999</v>
      </c>
      <c r="N92" s="144" t="s">
        <v>140</v>
      </c>
      <c r="O92" s="144">
        <f>SUM(O5:O91)</f>
        <v>294749.31362490001</v>
      </c>
    </row>
    <row r="93" spans="1:27">
      <c r="B93" s="133"/>
      <c r="C93" s="38"/>
      <c r="D93" s="486"/>
      <c r="E93" s="486"/>
      <c r="F93" s="486"/>
      <c r="G93" s="80"/>
      <c r="H93" s="478"/>
      <c r="I93" s="63"/>
      <c r="J93" s="64"/>
      <c r="K93" s="64"/>
      <c r="L93" s="64"/>
      <c r="M93" s="81"/>
      <c r="N93" s="41"/>
      <c r="O93" s="41"/>
    </row>
  </sheetData>
  <mergeCells count="2">
    <mergeCell ref="C8:F8"/>
    <mergeCell ref="K1:M1"/>
  </mergeCells>
  <pageMargins left="0.7" right="0.7" top="0.75" bottom="0.75" header="0.3" footer="0.3"/>
  <pageSetup paperSize="9" scale="45" orientation="portrait" r:id="rId1"/>
  <colBreaks count="1" manualBreakCount="1">
    <brk id="15" max="52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T90"/>
  <sheetViews>
    <sheetView view="pageBreakPreview" topLeftCell="B63" zoomScaleNormal="75" zoomScaleSheetLayoutView="100" workbookViewId="0">
      <selection activeCell="J11" sqref="J11"/>
    </sheetView>
  </sheetViews>
  <sheetFormatPr defaultRowHeight="15.6"/>
  <cols>
    <col min="1" max="1" width="18.59765625" customWidth="1"/>
    <col min="3" max="3" width="24.09765625" customWidth="1"/>
    <col min="4" max="6" width="9" style="485" customWidth="1"/>
    <col min="7" max="7" width="11.3984375" style="192" customWidth="1"/>
    <col min="8" max="8" width="10.69921875" style="259" bestFit="1" customWidth="1"/>
    <col min="9" max="9" width="11.59765625" bestFit="1" customWidth="1"/>
    <col min="12" max="12" width="10.69921875" bestFit="1" customWidth="1"/>
    <col min="13" max="13" width="12" customWidth="1"/>
    <col min="14" max="14" width="10.59765625" bestFit="1" customWidth="1"/>
    <col min="15" max="16" width="11.09765625" bestFit="1" customWidth="1"/>
    <col min="17" max="17" width="14.8984375" bestFit="1" customWidth="1"/>
    <col min="18" max="18" width="9.59765625" customWidth="1"/>
    <col min="21" max="21" width="18.8984375" customWidth="1"/>
    <col min="22" max="22" width="13.69921875" customWidth="1"/>
    <col min="23" max="23" width="8.19921875" bestFit="1" customWidth="1"/>
    <col min="24" max="25" width="9.3984375" bestFit="1" customWidth="1"/>
    <col min="26" max="26" width="9.09765625" bestFit="1" customWidth="1"/>
    <col min="27" max="27" width="9.3984375" bestFit="1" customWidth="1"/>
    <col min="28" max="28" width="17.8984375" bestFit="1" customWidth="1"/>
    <col min="29" max="30" width="9.3984375" bestFit="1" customWidth="1"/>
    <col min="31" max="35" width="9.09765625" bestFit="1" customWidth="1"/>
    <col min="37" max="37" width="15.19921875" customWidth="1"/>
  </cols>
  <sheetData>
    <row r="1" spans="1:20">
      <c r="A1" s="94" t="s">
        <v>0</v>
      </c>
      <c r="B1" s="128"/>
      <c r="C1" s="54"/>
      <c r="D1" s="486"/>
      <c r="E1" s="486"/>
      <c r="F1" s="486"/>
      <c r="G1" s="80"/>
      <c r="H1" s="478"/>
      <c r="I1" s="50"/>
      <c r="J1" s="47"/>
      <c r="K1" s="937" t="str">
        <f>SUMMARY!N1</f>
        <v>PROPOSED BUILDING WORKS</v>
      </c>
      <c r="L1" s="937"/>
      <c r="M1" s="937"/>
      <c r="N1" s="22"/>
      <c r="O1" s="52"/>
    </row>
    <row r="2" spans="1:20">
      <c r="A2" s="94">
        <f>SUMMARY!A2</f>
        <v>0</v>
      </c>
      <c r="B2" s="128"/>
      <c r="C2" s="54"/>
      <c r="D2" s="486"/>
      <c r="E2" s="486"/>
      <c r="F2" s="486"/>
      <c r="G2" s="80"/>
      <c r="H2" s="478"/>
      <c r="I2" s="50"/>
      <c r="J2" s="47"/>
      <c r="K2" s="47"/>
      <c r="L2" s="47"/>
      <c r="M2" s="53" t="str">
        <f>SUMMARY!N2</f>
        <v>261-263 Balwyn Road, Balwyn North</v>
      </c>
      <c r="N2" s="22"/>
      <c r="O2" s="52"/>
    </row>
    <row r="3" spans="1:20">
      <c r="A3" s="49"/>
      <c r="B3" s="128"/>
      <c r="C3" s="54"/>
      <c r="D3" s="486"/>
      <c r="E3" s="486"/>
      <c r="F3" s="486"/>
      <c r="G3" s="80"/>
      <c r="H3" s="478"/>
      <c r="I3" s="50"/>
      <c r="J3" s="47"/>
      <c r="K3" s="47"/>
      <c r="L3" s="47"/>
      <c r="M3" s="51" t="str">
        <f>SUMMARY!N3</f>
        <v>ESTIMATE - V1</v>
      </c>
      <c r="N3" s="22"/>
      <c r="O3" s="52"/>
    </row>
    <row r="4" spans="1:20">
      <c r="A4" s="102" t="s">
        <v>98</v>
      </c>
      <c r="B4" s="129" t="s">
        <v>99</v>
      </c>
      <c r="C4" s="55"/>
      <c r="D4" s="482" t="s">
        <v>100</v>
      </c>
      <c r="E4" s="482" t="s">
        <v>101</v>
      </c>
      <c r="F4" s="482" t="s">
        <v>102</v>
      </c>
      <c r="G4" s="58" t="s">
        <v>103</v>
      </c>
      <c r="H4" s="518" t="s">
        <v>104</v>
      </c>
      <c r="I4" s="59" t="s">
        <v>105</v>
      </c>
      <c r="J4" s="60" t="s">
        <v>106</v>
      </c>
      <c r="K4" s="60" t="s">
        <v>107</v>
      </c>
      <c r="L4" s="154" t="s">
        <v>108</v>
      </c>
      <c r="M4" s="154" t="s">
        <v>109</v>
      </c>
      <c r="N4" s="144" t="s">
        <v>108</v>
      </c>
      <c r="O4" s="144" t="s">
        <v>109</v>
      </c>
      <c r="P4" s="199"/>
      <c r="Q4" s="199"/>
      <c r="R4" s="199"/>
      <c r="S4" s="183"/>
      <c r="T4" s="206"/>
    </row>
    <row r="5" spans="1:20">
      <c r="A5" s="88">
        <v>9</v>
      </c>
      <c r="B5" s="61" t="s">
        <v>322</v>
      </c>
      <c r="C5" s="62"/>
      <c r="D5" s="483"/>
      <c r="E5" s="483"/>
      <c r="F5" s="483"/>
      <c r="G5" s="33"/>
      <c r="H5" s="520"/>
      <c r="I5" s="35"/>
      <c r="J5" s="36"/>
      <c r="K5" s="36"/>
      <c r="L5" s="155"/>
      <c r="M5" s="156"/>
      <c r="N5" s="145"/>
      <c r="O5" s="225"/>
    </row>
    <row r="6" spans="1:20">
      <c r="A6" s="88"/>
      <c r="B6" s="131"/>
      <c r="C6" s="38"/>
      <c r="D6" s="483"/>
      <c r="E6" s="483"/>
      <c r="F6" s="483"/>
      <c r="G6" s="33"/>
      <c r="H6" s="520"/>
      <c r="I6" s="35"/>
      <c r="J6" s="36"/>
      <c r="K6" s="36"/>
      <c r="L6" s="155"/>
      <c r="M6" s="156"/>
      <c r="N6" s="145"/>
      <c r="O6" s="146"/>
    </row>
    <row r="7" spans="1:20">
      <c r="A7" s="88"/>
      <c r="B7" s="61" t="s">
        <v>304</v>
      </c>
      <c r="C7" s="38"/>
      <c r="D7" s="483"/>
      <c r="E7" s="483"/>
      <c r="F7" s="483"/>
      <c r="G7" s="33"/>
      <c r="H7" s="520"/>
      <c r="I7" s="35"/>
      <c r="J7" s="36"/>
      <c r="K7" s="36"/>
      <c r="L7" s="155"/>
      <c r="M7" s="156"/>
      <c r="N7" s="145"/>
      <c r="O7" s="146"/>
    </row>
    <row r="8" spans="1:20">
      <c r="A8" s="88"/>
      <c r="B8" s="131"/>
      <c r="C8" s="942" t="s">
        <v>305</v>
      </c>
      <c r="D8" s="957"/>
      <c r="E8" s="957"/>
      <c r="F8" s="957"/>
      <c r="G8" s="33" t="s">
        <v>12</v>
      </c>
      <c r="H8" s="554">
        <f>ROUNDUP(H14,0)</f>
        <v>6</v>
      </c>
      <c r="I8" s="35"/>
      <c r="J8" s="36"/>
      <c r="K8" s="36"/>
      <c r="L8" s="155"/>
      <c r="M8" s="156" t="s">
        <v>306</v>
      </c>
      <c r="N8" s="145"/>
      <c r="O8" s="146" t="s">
        <v>306</v>
      </c>
    </row>
    <row r="9" spans="1:20">
      <c r="A9" s="89"/>
      <c r="B9" s="133"/>
      <c r="C9" s="233"/>
      <c r="D9" s="476"/>
      <c r="E9" s="476"/>
      <c r="F9" s="487"/>
      <c r="G9" s="33"/>
      <c r="H9" s="533">
        <f>D9*E9*F9</f>
        <v>0</v>
      </c>
      <c r="I9" s="35"/>
      <c r="J9" s="36"/>
      <c r="K9" s="36"/>
      <c r="L9" s="159"/>
      <c r="M9" s="160"/>
      <c r="N9" s="149"/>
      <c r="O9" s="150"/>
    </row>
    <row r="10" spans="1:20">
      <c r="A10" s="89"/>
      <c r="B10" s="133"/>
      <c r="C10" s="233"/>
      <c r="D10" s="476"/>
      <c r="E10" s="476"/>
      <c r="F10" s="487"/>
      <c r="G10" s="33"/>
      <c r="H10" s="533">
        <f>D10*E10*F10</f>
        <v>0</v>
      </c>
      <c r="I10" s="35"/>
      <c r="J10" s="36"/>
      <c r="K10" s="36"/>
      <c r="L10" s="159"/>
      <c r="M10" s="160"/>
      <c r="N10" s="149"/>
      <c r="O10" s="150"/>
    </row>
    <row r="11" spans="1:20">
      <c r="A11" s="89"/>
      <c r="B11" s="133"/>
      <c r="C11" s="233"/>
      <c r="D11" s="476"/>
      <c r="E11" s="476"/>
      <c r="F11" s="476"/>
      <c r="G11" s="33"/>
      <c r="H11" s="533">
        <f>D11*E11*F11</f>
        <v>0</v>
      </c>
      <c r="I11" s="35"/>
      <c r="J11" s="36"/>
      <c r="K11" s="36"/>
      <c r="L11" s="159"/>
      <c r="M11" s="160"/>
      <c r="N11" s="149"/>
      <c r="O11" s="150"/>
    </row>
    <row r="12" spans="1:20">
      <c r="A12" s="89"/>
      <c r="B12" s="133"/>
      <c r="C12" s="233"/>
      <c r="D12" s="476"/>
      <c r="E12" s="476"/>
      <c r="F12" s="476"/>
      <c r="G12" s="33"/>
      <c r="H12" s="533">
        <f>D12*E12*F12</f>
        <v>0</v>
      </c>
      <c r="I12" s="35"/>
      <c r="J12" s="36"/>
      <c r="K12" s="36"/>
      <c r="L12" s="159"/>
      <c r="M12" s="160"/>
      <c r="N12" s="149"/>
      <c r="O12" s="150"/>
    </row>
    <row r="13" spans="1:20">
      <c r="A13" s="89"/>
      <c r="B13" s="133"/>
      <c r="C13" s="233" t="s">
        <v>207</v>
      </c>
      <c r="D13" s="476"/>
      <c r="E13" s="476"/>
      <c r="F13" s="476"/>
      <c r="G13" s="33"/>
      <c r="H13" s="533">
        <v>6</v>
      </c>
      <c r="I13" s="35"/>
      <c r="J13" s="36"/>
      <c r="K13" s="36"/>
      <c r="L13" s="159"/>
      <c r="M13" s="160"/>
      <c r="N13" s="149"/>
      <c r="O13" s="150"/>
    </row>
    <row r="14" spans="1:20" ht="16.2" thickBot="1">
      <c r="A14" s="89"/>
      <c r="B14" s="133"/>
      <c r="C14" s="233"/>
      <c r="D14" s="483"/>
      <c r="E14" s="483"/>
      <c r="F14" s="483"/>
      <c r="G14" s="33"/>
      <c r="H14" s="556">
        <f>SUM(H9:H13)</f>
        <v>6</v>
      </c>
      <c r="I14" s="35"/>
      <c r="J14" s="36"/>
      <c r="K14" s="36"/>
      <c r="L14" s="159"/>
      <c r="M14" s="160"/>
      <c r="N14" s="149"/>
      <c r="O14" s="150"/>
    </row>
    <row r="15" spans="1:20" ht="16.2" thickTop="1">
      <c r="A15" s="89"/>
      <c r="B15" s="143" t="s">
        <v>307</v>
      </c>
      <c r="C15" s="43"/>
      <c r="D15" s="483"/>
      <c r="E15" s="483"/>
      <c r="F15" s="483"/>
      <c r="G15" s="33"/>
      <c r="H15" s="520"/>
      <c r="I15" s="35"/>
      <c r="J15" s="36"/>
      <c r="K15" s="36"/>
      <c r="L15" s="159"/>
      <c r="M15" s="160"/>
      <c r="N15" s="149"/>
      <c r="O15" s="150"/>
    </row>
    <row r="16" spans="1:20">
      <c r="A16" s="89"/>
      <c r="B16" s="133"/>
      <c r="C16" s="629"/>
      <c r="D16" s="483"/>
      <c r="E16" s="483"/>
      <c r="F16" s="483"/>
      <c r="G16" s="33" t="s">
        <v>12</v>
      </c>
      <c r="H16" s="298"/>
      <c r="I16" s="35"/>
      <c r="J16" s="36"/>
      <c r="K16" s="36"/>
      <c r="L16" s="159"/>
      <c r="M16" s="160"/>
      <c r="N16" s="149"/>
      <c r="O16" s="150"/>
    </row>
    <row r="17" spans="1:15">
      <c r="A17" s="89"/>
      <c r="B17" s="133"/>
      <c r="C17" s="629" t="s">
        <v>323</v>
      </c>
      <c r="D17" s="715"/>
      <c r="E17" s="715"/>
      <c r="F17" s="483"/>
      <c r="G17" s="33">
        <v>1</v>
      </c>
      <c r="H17" s="520">
        <f>D17*E17</f>
        <v>0</v>
      </c>
      <c r="I17" s="35"/>
      <c r="J17" s="36"/>
      <c r="K17" s="36"/>
      <c r="L17" s="159"/>
      <c r="M17" s="160"/>
      <c r="N17" s="149"/>
      <c r="O17" s="150"/>
    </row>
    <row r="18" spans="1:15">
      <c r="A18" s="89"/>
      <c r="B18" s="133"/>
      <c r="C18" s="43" t="s">
        <v>324</v>
      </c>
      <c r="D18" s="715"/>
      <c r="E18" s="715"/>
      <c r="F18" s="483"/>
      <c r="G18" s="255">
        <v>2</v>
      </c>
      <c r="H18" s="520">
        <f>D18*E18*G18</f>
        <v>0</v>
      </c>
      <c r="I18" s="35"/>
      <c r="J18" s="36"/>
      <c r="K18" s="36"/>
      <c r="L18" s="159"/>
      <c r="M18" s="160"/>
      <c r="N18" s="149"/>
      <c r="O18" s="150"/>
    </row>
    <row r="19" spans="1:15">
      <c r="A19" s="89"/>
      <c r="B19" s="133"/>
      <c r="C19" s="629" t="s">
        <v>325</v>
      </c>
      <c r="D19" s="715"/>
      <c r="E19" s="715"/>
      <c r="F19" s="483"/>
      <c r="G19" s="255">
        <v>1</v>
      </c>
      <c r="H19" s="520">
        <f>D19*E19*G19</f>
        <v>0</v>
      </c>
      <c r="I19" s="35"/>
      <c r="J19" s="36"/>
      <c r="K19" s="36"/>
      <c r="L19" s="159"/>
      <c r="M19" s="160"/>
      <c r="N19" s="149"/>
      <c r="O19" s="150"/>
    </row>
    <row r="20" spans="1:15" ht="16.2" thickBot="1">
      <c r="A20" s="89"/>
      <c r="B20" s="133"/>
      <c r="C20" s="629"/>
      <c r="D20" s="483"/>
      <c r="E20" s="483"/>
      <c r="F20" s="483"/>
      <c r="G20" s="255"/>
      <c r="H20" s="556">
        <f>SUM(H17:H19)</f>
        <v>0</v>
      </c>
      <c r="I20" s="35">
        <v>1.2</v>
      </c>
      <c r="J20" s="36"/>
      <c r="K20" s="36"/>
      <c r="L20" s="159">
        <v>60</v>
      </c>
      <c r="M20" s="160">
        <f>L20*I20*H20</f>
        <v>0</v>
      </c>
      <c r="N20" s="149">
        <f>L20*1.5</f>
        <v>90</v>
      </c>
      <c r="O20" s="150">
        <f>N20*I20*H20</f>
        <v>0</v>
      </c>
    </row>
    <row r="21" spans="1:15" ht="16.2" thickTop="1">
      <c r="A21" s="89"/>
      <c r="B21" s="133"/>
      <c r="C21" s="629"/>
      <c r="D21" s="483"/>
      <c r="E21" s="483"/>
      <c r="F21" s="483"/>
      <c r="G21" s="255"/>
      <c r="H21" s="520"/>
      <c r="I21" s="35"/>
      <c r="J21" s="36"/>
      <c r="K21" s="36"/>
      <c r="L21" s="159"/>
      <c r="M21" s="160"/>
      <c r="N21" s="149"/>
      <c r="O21" s="150"/>
    </row>
    <row r="22" spans="1:15">
      <c r="A22" s="89"/>
      <c r="B22" s="133"/>
      <c r="C22" s="629"/>
      <c r="D22" s="483"/>
      <c r="E22" s="483"/>
      <c r="F22" s="483"/>
      <c r="G22" s="255"/>
      <c r="H22" s="520"/>
      <c r="I22" s="35"/>
      <c r="J22" s="36"/>
      <c r="K22" s="36"/>
      <c r="L22" s="159"/>
      <c r="M22" s="160"/>
      <c r="N22" s="149"/>
      <c r="O22" s="150"/>
    </row>
    <row r="23" spans="1:15">
      <c r="A23" s="89"/>
      <c r="B23" s="143" t="s">
        <v>308</v>
      </c>
      <c r="C23" s="43"/>
      <c r="D23" s="483"/>
      <c r="E23" s="483"/>
      <c r="F23" s="483"/>
      <c r="G23" s="255"/>
      <c r="H23" s="520"/>
      <c r="I23" s="35"/>
      <c r="J23" s="36"/>
      <c r="K23" s="36"/>
      <c r="L23" s="159"/>
      <c r="M23" s="160"/>
      <c r="N23" s="149"/>
      <c r="O23" s="150"/>
    </row>
    <row r="24" spans="1:15">
      <c r="A24" s="89"/>
      <c r="B24" s="133"/>
      <c r="C24" s="629"/>
      <c r="D24" s="483"/>
      <c r="E24" s="483"/>
      <c r="F24" s="483"/>
      <c r="G24" s="255" t="s">
        <v>12</v>
      </c>
      <c r="H24" s="298"/>
      <c r="I24" s="35"/>
      <c r="J24" s="36"/>
      <c r="K24" s="36"/>
      <c r="L24" s="159"/>
      <c r="M24" s="160"/>
      <c r="N24" s="149"/>
      <c r="O24" s="150"/>
    </row>
    <row r="25" spans="1:15">
      <c r="A25" s="89"/>
      <c r="B25" s="133"/>
      <c r="C25" s="629" t="s">
        <v>258</v>
      </c>
      <c r="D25" s="476"/>
      <c r="E25" s="476" t="s">
        <v>309</v>
      </c>
      <c r="F25" s="476">
        <f>H20</f>
        <v>0</v>
      </c>
      <c r="G25" s="33">
        <v>1</v>
      </c>
      <c r="H25" s="520">
        <f>D25-F25</f>
        <v>0</v>
      </c>
      <c r="I25" s="35"/>
      <c r="J25" s="36"/>
      <c r="K25" s="36"/>
      <c r="L25" s="159"/>
      <c r="M25" s="160"/>
      <c r="N25" s="149"/>
      <c r="O25" s="150"/>
    </row>
    <row r="26" spans="1:15">
      <c r="A26" s="89"/>
      <c r="B26" s="133"/>
      <c r="C26" s="629"/>
      <c r="D26" s="483"/>
      <c r="E26" s="483"/>
      <c r="F26" s="483"/>
      <c r="G26" s="33">
        <v>1</v>
      </c>
      <c r="H26" s="520">
        <f>D26*E26</f>
        <v>0</v>
      </c>
      <c r="I26" s="35"/>
      <c r="J26" s="36"/>
      <c r="K26" s="36"/>
      <c r="L26" s="159"/>
      <c r="M26" s="160"/>
      <c r="N26" s="149"/>
      <c r="O26" s="150"/>
    </row>
    <row r="27" spans="1:15">
      <c r="A27" s="89"/>
      <c r="B27" s="133"/>
      <c r="C27" s="629"/>
      <c r="D27" s="483"/>
      <c r="E27" s="483"/>
      <c r="F27" s="483"/>
      <c r="G27" s="33">
        <v>1</v>
      </c>
      <c r="H27" s="520">
        <f>D27*E27</f>
        <v>0</v>
      </c>
      <c r="I27" s="35"/>
      <c r="J27" s="36"/>
      <c r="K27" s="36"/>
      <c r="L27" s="159"/>
      <c r="M27" s="160"/>
      <c r="N27" s="149"/>
      <c r="O27" s="150"/>
    </row>
    <row r="28" spans="1:15">
      <c r="A28" s="89"/>
      <c r="B28" s="133"/>
      <c r="C28" s="629"/>
      <c r="D28" s="483"/>
      <c r="E28" s="483"/>
      <c r="F28" s="483"/>
      <c r="G28" s="33">
        <v>1</v>
      </c>
      <c r="H28" s="520">
        <f>D28*E28</f>
        <v>0</v>
      </c>
      <c r="I28" s="35"/>
      <c r="J28" s="36"/>
      <c r="K28" s="36"/>
      <c r="L28" s="159"/>
      <c r="M28" s="160"/>
      <c r="N28" s="149"/>
      <c r="O28" s="150"/>
    </row>
    <row r="29" spans="1:15">
      <c r="A29" s="89"/>
      <c r="B29" s="133"/>
      <c r="C29" s="629"/>
      <c r="D29" s="483"/>
      <c r="E29" s="483"/>
      <c r="F29" s="483"/>
      <c r="G29" s="33">
        <v>1</v>
      </c>
      <c r="H29" s="520">
        <f>D29*E29</f>
        <v>0</v>
      </c>
      <c r="I29" s="35"/>
      <c r="J29" s="36"/>
      <c r="K29" s="36"/>
      <c r="L29" s="159"/>
      <c r="M29" s="160"/>
      <c r="N29" s="149"/>
      <c r="O29" s="150"/>
    </row>
    <row r="30" spans="1:15" ht="16.2" thickBot="1">
      <c r="A30" s="89"/>
      <c r="B30" s="133"/>
      <c r="G30" s="297"/>
      <c r="H30" s="556">
        <f>SUM(H25:H29)</f>
        <v>0</v>
      </c>
      <c r="I30" s="35">
        <v>1.1000000000000001</v>
      </c>
      <c r="J30" s="36"/>
      <c r="K30" s="36"/>
      <c r="L30" s="159">
        <v>50</v>
      </c>
      <c r="M30" s="160">
        <f>L30*I30*H30</f>
        <v>0</v>
      </c>
      <c r="N30" s="149">
        <f>L30*1.5</f>
        <v>75</v>
      </c>
      <c r="O30" s="150">
        <f>N30*I30*H30</f>
        <v>0</v>
      </c>
    </row>
    <row r="31" spans="1:15" ht="16.2" thickTop="1">
      <c r="A31" s="89"/>
      <c r="B31" s="133"/>
      <c r="C31" s="629"/>
      <c r="D31" s="483"/>
      <c r="E31" s="483"/>
      <c r="F31" s="483"/>
      <c r="G31" s="33"/>
      <c r="H31" s="298"/>
      <c r="I31" s="35"/>
      <c r="J31" s="36"/>
      <c r="K31" s="36"/>
      <c r="L31" s="159"/>
      <c r="M31" s="160"/>
      <c r="N31" s="149"/>
      <c r="O31" s="150"/>
    </row>
    <row r="32" spans="1:15">
      <c r="A32" s="89"/>
      <c r="B32" s="133"/>
      <c r="C32" s="629" t="s">
        <v>310</v>
      </c>
      <c r="D32" s="483"/>
      <c r="E32" s="483"/>
      <c r="F32" s="483"/>
      <c r="G32" s="255"/>
      <c r="H32" s="707"/>
      <c r="I32" s="35"/>
      <c r="J32" s="36"/>
      <c r="K32" s="36"/>
      <c r="L32" s="159">
        <v>17</v>
      </c>
      <c r="M32" s="160">
        <f>H32*L32</f>
        <v>0</v>
      </c>
      <c r="N32" s="149">
        <f>L32*1.5</f>
        <v>25.5</v>
      </c>
      <c r="O32" s="150">
        <f>N32*H32</f>
        <v>0</v>
      </c>
    </row>
    <row r="33" spans="1:15">
      <c r="A33" s="89"/>
      <c r="B33" s="133"/>
      <c r="C33" s="629"/>
      <c r="D33" s="483"/>
      <c r="E33" s="483"/>
      <c r="F33" s="483"/>
      <c r="G33" s="33"/>
      <c r="H33" s="520"/>
      <c r="I33" s="35"/>
      <c r="J33" s="36"/>
      <c r="K33" s="36"/>
      <c r="L33" s="159"/>
      <c r="M33" s="160"/>
      <c r="N33" s="149"/>
      <c r="O33" s="150"/>
    </row>
    <row r="34" spans="1:15">
      <c r="A34" s="89"/>
      <c r="B34" s="133"/>
      <c r="C34" s="629"/>
      <c r="D34" s="483"/>
      <c r="E34" s="483"/>
      <c r="F34" s="483"/>
      <c r="G34" s="33"/>
      <c r="H34" s="298"/>
      <c r="I34" s="35"/>
      <c r="J34" s="36"/>
      <c r="K34" s="36"/>
      <c r="L34" s="159"/>
      <c r="M34" s="160"/>
      <c r="N34" s="149"/>
      <c r="O34" s="150"/>
    </row>
    <row r="35" spans="1:15">
      <c r="A35" s="89"/>
      <c r="B35" s="143" t="s">
        <v>157</v>
      </c>
      <c r="C35" s="43"/>
      <c r="D35" s="483"/>
      <c r="E35" s="483"/>
      <c r="F35" s="483"/>
      <c r="G35" s="33"/>
      <c r="H35" s="520"/>
      <c r="I35" s="35"/>
      <c r="J35" s="36" t="s">
        <v>158</v>
      </c>
      <c r="K35" s="36"/>
      <c r="L35" s="159"/>
      <c r="M35" s="160"/>
      <c r="N35" s="149"/>
      <c r="O35" s="150"/>
    </row>
    <row r="36" spans="1:15" ht="16.2" thickBot="1">
      <c r="A36" s="89"/>
      <c r="B36" s="133"/>
      <c r="C36" s="629"/>
      <c r="D36" s="483"/>
      <c r="E36" s="483"/>
      <c r="F36" s="483"/>
      <c r="G36" s="255"/>
      <c r="H36" s="520"/>
      <c r="I36" s="35"/>
      <c r="J36" s="36"/>
      <c r="K36" s="36"/>
      <c r="L36" s="418"/>
      <c r="M36" s="431"/>
      <c r="N36" s="396"/>
      <c r="O36" s="146"/>
    </row>
    <row r="37" spans="1:15" ht="16.2" thickBot="1">
      <c r="A37" s="89"/>
      <c r="B37" s="133"/>
      <c r="C37" s="629" t="s">
        <v>326</v>
      </c>
      <c r="E37" s="483">
        <v>250</v>
      </c>
      <c r="F37" s="483">
        <f>VLOOKUP(E37,Costings!$G$14:$I$20,3)</f>
        <v>8</v>
      </c>
      <c r="G37" s="255" t="s">
        <v>12</v>
      </c>
      <c r="H37" s="520">
        <f>H14</f>
        <v>6</v>
      </c>
      <c r="I37" s="734" t="s">
        <v>42</v>
      </c>
      <c r="J37" s="36">
        <f>VLOOKUP(I37,Costings!$A$2:$B$10,2)</f>
        <v>3.64</v>
      </c>
      <c r="K37" s="36">
        <f>F37*H37*J37/1000</f>
        <v>0.17471999999999999</v>
      </c>
      <c r="L37" s="418"/>
      <c r="M37" s="431"/>
      <c r="N37" s="396"/>
      <c r="O37" s="146"/>
    </row>
    <row r="38" spans="1:15" ht="16.2" thickBot="1">
      <c r="A38" s="89"/>
      <c r="B38" s="133"/>
      <c r="C38" s="629" t="s">
        <v>326</v>
      </c>
      <c r="D38" s="483"/>
      <c r="E38" s="483">
        <v>250</v>
      </c>
      <c r="F38" s="483">
        <f>VLOOKUP(E38,Costings!$G$14:$I$20,3)</f>
        <v>8</v>
      </c>
      <c r="G38" s="255" t="s">
        <v>12</v>
      </c>
      <c r="H38" s="520">
        <f>H37</f>
        <v>6</v>
      </c>
      <c r="I38" s="734" t="s">
        <v>42</v>
      </c>
      <c r="J38" s="36">
        <f>VLOOKUP(I38,Costings!$A$2:$B$10,2)</f>
        <v>3.64</v>
      </c>
      <c r="K38" s="36">
        <f>F38*H38*J38/1000</f>
        <v>0.17471999999999999</v>
      </c>
      <c r="L38" s="418"/>
      <c r="M38" s="431"/>
      <c r="N38" s="396"/>
      <c r="O38" s="146"/>
    </row>
    <row r="39" spans="1:15" ht="16.2" thickBot="1">
      <c r="A39" s="89"/>
      <c r="B39" s="133"/>
      <c r="C39" s="629" t="s">
        <v>327</v>
      </c>
      <c r="D39" s="483"/>
      <c r="E39" s="483">
        <v>250</v>
      </c>
      <c r="F39" s="483">
        <f>VLOOKUP(E39,Costings!$G$14:$I$20,3)</f>
        <v>8</v>
      </c>
      <c r="G39" s="255" t="s">
        <v>12</v>
      </c>
      <c r="H39" s="520">
        <f>H37</f>
        <v>6</v>
      </c>
      <c r="I39" s="734" t="s">
        <v>42</v>
      </c>
      <c r="J39" s="36">
        <f>VLOOKUP(I39,Costings!$A$2:$B$10,2)</f>
        <v>3.64</v>
      </c>
      <c r="K39" s="36">
        <f>F39*H39*J39/1000</f>
        <v>0.17471999999999999</v>
      </c>
      <c r="L39" s="418"/>
      <c r="M39" s="431"/>
      <c r="N39" s="396"/>
      <c r="O39" s="146"/>
    </row>
    <row r="40" spans="1:15">
      <c r="A40" s="89"/>
      <c r="B40" s="133"/>
      <c r="C40" s="629" t="s">
        <v>327</v>
      </c>
      <c r="D40" s="483"/>
      <c r="E40" s="483">
        <v>250</v>
      </c>
      <c r="F40" s="483">
        <f>VLOOKUP(E40,Costings!$G$14:$I$20,3)</f>
        <v>8</v>
      </c>
      <c r="G40" s="255" t="s">
        <v>12</v>
      </c>
      <c r="H40" s="520">
        <f>H37</f>
        <v>6</v>
      </c>
      <c r="I40" s="734" t="s">
        <v>42</v>
      </c>
      <c r="J40" s="36">
        <f>VLOOKUP(I40,Costings!$A$2:$B$10,2)</f>
        <v>3.64</v>
      </c>
      <c r="K40" s="36">
        <f>F40*H40*J40/1000</f>
        <v>0.17471999999999999</v>
      </c>
      <c r="L40" s="418"/>
      <c r="M40" s="431"/>
      <c r="N40" s="396"/>
      <c r="O40" s="146"/>
    </row>
    <row r="41" spans="1:15">
      <c r="A41" s="89"/>
      <c r="B41" s="133"/>
      <c r="G41" s="255"/>
      <c r="H41" s="540"/>
      <c r="I41" s="35"/>
      <c r="J41" s="236"/>
      <c r="K41" s="236"/>
      <c r="L41" s="159"/>
      <c r="M41" s="160"/>
      <c r="N41" s="149"/>
      <c r="O41" s="150"/>
    </row>
    <row r="42" spans="1:15" ht="16.2" thickBot="1">
      <c r="A42" s="89"/>
      <c r="B42" s="133"/>
      <c r="C42" s="43" t="s">
        <v>311</v>
      </c>
      <c r="D42" s="476"/>
      <c r="E42" s="483"/>
      <c r="F42" s="483">
        <v>0.5</v>
      </c>
      <c r="G42" s="33"/>
      <c r="H42" s="556">
        <f>D42*F42</f>
        <v>0</v>
      </c>
      <c r="I42" s="35"/>
      <c r="J42" s="36"/>
      <c r="K42" s="36"/>
      <c r="L42" s="159">
        <v>0.5</v>
      </c>
      <c r="M42" s="160">
        <f>H42*L42</f>
        <v>0</v>
      </c>
      <c r="N42" s="149">
        <f>L42*1.5</f>
        <v>0.75</v>
      </c>
      <c r="O42" s="150">
        <f>D42*F42*N42</f>
        <v>0</v>
      </c>
    </row>
    <row r="43" spans="1:15" ht="16.2" thickTop="1">
      <c r="A43" s="89"/>
      <c r="B43" s="133"/>
      <c r="C43" s="43"/>
      <c r="D43" s="483"/>
      <c r="E43" s="483"/>
      <c r="F43" s="483"/>
      <c r="G43" s="33"/>
      <c r="H43" s="520"/>
      <c r="I43" s="35"/>
      <c r="J43" s="36"/>
      <c r="K43" s="36"/>
      <c r="L43" s="159"/>
      <c r="M43" s="160"/>
      <c r="N43" s="149"/>
      <c r="O43" s="150"/>
    </row>
    <row r="44" spans="1:15">
      <c r="A44" s="89"/>
      <c r="B44" s="133"/>
      <c r="C44" s="43"/>
      <c r="D44" s="483"/>
      <c r="E44" s="483"/>
      <c r="F44" s="483"/>
      <c r="G44" s="33"/>
      <c r="H44" s="520"/>
      <c r="I44" s="35"/>
      <c r="J44" s="36"/>
      <c r="K44" s="36"/>
      <c r="L44" s="159"/>
      <c r="M44" s="160"/>
      <c r="N44" s="149"/>
      <c r="O44" s="150"/>
    </row>
    <row r="45" spans="1:15" ht="16.2" thickBot="1">
      <c r="A45" s="89"/>
      <c r="B45" s="133"/>
      <c r="C45" s="452" t="s">
        <v>312</v>
      </c>
      <c r="D45" s="483"/>
      <c r="E45" s="483"/>
      <c r="F45" s="483"/>
      <c r="G45" s="33"/>
      <c r="H45" s="520"/>
      <c r="I45" s="36"/>
      <c r="J45" s="36"/>
      <c r="K45" s="324"/>
      <c r="L45" s="159"/>
      <c r="M45" s="160"/>
      <c r="N45" s="149"/>
      <c r="O45" s="150"/>
    </row>
    <row r="46" spans="1:15" ht="16.2" thickBot="1">
      <c r="A46" s="89"/>
      <c r="B46" s="133"/>
      <c r="C46" s="734" t="s">
        <v>42</v>
      </c>
      <c r="D46" s="476"/>
      <c r="E46" s="476"/>
      <c r="F46" s="476"/>
      <c r="G46" s="33" t="s">
        <v>11</v>
      </c>
      <c r="H46" s="520">
        <f>D46*F46</f>
        <v>0</v>
      </c>
      <c r="I46" s="36">
        <f>VLOOKUP(C46,Costings!$A$2:$B$10,2,FALSE)</f>
        <v>3.64</v>
      </c>
      <c r="J46" s="36"/>
      <c r="K46" s="324">
        <f>H46*I46/1000</f>
        <v>0</v>
      </c>
      <c r="L46" s="159"/>
      <c r="M46" s="160"/>
      <c r="N46" s="149"/>
      <c r="O46" s="150"/>
    </row>
    <row r="47" spans="1:15" ht="16.2" thickBot="1">
      <c r="A47" s="89"/>
      <c r="B47" s="133"/>
      <c r="C47" s="734" t="s">
        <v>42</v>
      </c>
      <c r="D47" s="476"/>
      <c r="E47" s="476"/>
      <c r="F47" s="476"/>
      <c r="G47" s="33" t="s">
        <v>11</v>
      </c>
      <c r="H47" s="520">
        <f>D47*F47</f>
        <v>0</v>
      </c>
      <c r="I47" s="36">
        <f>VLOOKUP(C47,Costings!$A$2:$B$10,2,FALSE)</f>
        <v>3.64</v>
      </c>
      <c r="J47" s="36"/>
      <c r="K47" s="324">
        <f>H47*I47/1000</f>
        <v>0</v>
      </c>
      <c r="L47" s="159"/>
      <c r="M47" s="160"/>
      <c r="N47" s="149"/>
      <c r="O47" s="150"/>
    </row>
    <row r="48" spans="1:15">
      <c r="A48" s="89"/>
      <c r="B48" s="133"/>
      <c r="C48" s="734" t="s">
        <v>42</v>
      </c>
      <c r="D48" s="476"/>
      <c r="E48" s="476"/>
      <c r="F48" s="476"/>
      <c r="G48" s="33" t="s">
        <v>11</v>
      </c>
      <c r="H48" s="520">
        <f>D48*E48*F48</f>
        <v>0</v>
      </c>
      <c r="I48" s="36">
        <f>VLOOKUP(C48,Costings!$A$2:$B$10,2,FALSE)</f>
        <v>3.64</v>
      </c>
      <c r="J48" s="36"/>
      <c r="K48" s="324">
        <f>H48*I48/1000</f>
        <v>0</v>
      </c>
      <c r="L48" s="159"/>
      <c r="M48" s="160"/>
      <c r="N48" s="149"/>
      <c r="O48" s="150"/>
    </row>
    <row r="49" spans="1:15">
      <c r="A49" s="89"/>
      <c r="B49" s="133"/>
      <c r="C49" s="43"/>
      <c r="D49" s="476"/>
      <c r="E49" s="476"/>
      <c r="F49" s="476"/>
      <c r="G49" s="33"/>
      <c r="H49" s="520"/>
      <c r="I49" s="35"/>
      <c r="J49" s="36"/>
      <c r="K49" s="36"/>
      <c r="L49" s="159"/>
      <c r="M49" s="160"/>
      <c r="N49" s="149"/>
      <c r="O49" s="150"/>
    </row>
    <row r="50" spans="1:15" ht="16.2" thickBot="1">
      <c r="A50" s="89"/>
      <c r="B50" s="133"/>
      <c r="C50" s="43" t="s">
        <v>328</v>
      </c>
      <c r="D50" s="476"/>
      <c r="E50" s="476"/>
      <c r="F50" s="476"/>
      <c r="G50" s="33"/>
      <c r="H50" s="520"/>
      <c r="I50" s="35"/>
      <c r="J50" s="36"/>
      <c r="K50" s="36"/>
      <c r="L50" s="159"/>
      <c r="M50" s="160"/>
      <c r="N50" s="149"/>
      <c r="O50" s="150"/>
    </row>
    <row r="51" spans="1:15" ht="16.2" thickBot="1">
      <c r="A51" s="89"/>
      <c r="B51" s="133"/>
      <c r="C51" s="43" t="s">
        <v>329</v>
      </c>
      <c r="D51" s="476"/>
      <c r="E51" s="476"/>
      <c r="F51" s="476"/>
      <c r="G51" s="33">
        <v>1</v>
      </c>
      <c r="H51" s="520">
        <f>D51*E51*F51*G51</f>
        <v>0</v>
      </c>
      <c r="I51" s="734" t="s">
        <v>42</v>
      </c>
      <c r="J51" s="36">
        <f>VLOOKUP(I51,Costings!$A$2:$B$10,2,FALSE)</f>
        <v>3.64</v>
      </c>
      <c r="K51" s="36">
        <f>H51*J51/1000</f>
        <v>0</v>
      </c>
      <c r="L51" s="159"/>
      <c r="M51" s="160"/>
      <c r="N51" s="149"/>
      <c r="O51" s="150"/>
    </row>
    <row r="52" spans="1:15">
      <c r="A52" s="89"/>
      <c r="B52" s="133"/>
      <c r="C52" s="43" t="s">
        <v>330</v>
      </c>
      <c r="D52" s="476"/>
      <c r="E52" s="476"/>
      <c r="F52" s="476"/>
      <c r="G52" s="33">
        <v>1</v>
      </c>
      <c r="H52" s="520">
        <f>D52*E52*F52*G52</f>
        <v>0</v>
      </c>
      <c r="I52" s="734" t="s">
        <v>42</v>
      </c>
      <c r="J52" s="36">
        <f>VLOOKUP(I52,Costings!$A$2:$B$10,2,FALSE)</f>
        <v>3.64</v>
      </c>
      <c r="K52" s="36">
        <f>H52*J52/1000</f>
        <v>0</v>
      </c>
      <c r="L52" s="159"/>
      <c r="M52" s="160"/>
      <c r="N52" s="149"/>
      <c r="O52" s="150"/>
    </row>
    <row r="53" spans="1:15">
      <c r="A53" s="89"/>
      <c r="B53" s="133"/>
      <c r="C53" s="43"/>
      <c r="D53" s="476"/>
      <c r="E53" s="476"/>
      <c r="F53" s="476"/>
      <c r="G53" s="33"/>
      <c r="H53" s="520"/>
      <c r="I53" s="35"/>
      <c r="J53" s="36"/>
      <c r="K53" s="36"/>
      <c r="L53" s="159"/>
      <c r="M53" s="160"/>
      <c r="N53" s="149"/>
      <c r="O53" s="150"/>
    </row>
    <row r="54" spans="1:15" ht="16.2" thickBot="1">
      <c r="A54" s="89"/>
      <c r="B54" s="133"/>
      <c r="C54" s="43" t="s">
        <v>331</v>
      </c>
      <c r="D54" s="476"/>
      <c r="E54" s="476"/>
      <c r="F54" s="476"/>
      <c r="G54" s="33"/>
      <c r="H54" s="520"/>
      <c r="I54" s="35"/>
      <c r="J54" s="36"/>
      <c r="K54" s="36"/>
      <c r="L54" s="159"/>
      <c r="M54" s="160"/>
      <c r="N54" s="149"/>
      <c r="O54" s="150"/>
    </row>
    <row r="55" spans="1:15" ht="16.2" thickBot="1">
      <c r="A55" s="89"/>
      <c r="B55" s="133"/>
      <c r="C55" s="43" t="s">
        <v>329</v>
      </c>
      <c r="D55" s="476"/>
      <c r="E55" s="476"/>
      <c r="F55" s="715"/>
      <c r="G55" s="33">
        <v>1</v>
      </c>
      <c r="H55" s="520" t="e">
        <f>D55*(E55/F55)*G55</f>
        <v>#DIV/0!</v>
      </c>
      <c r="I55" s="734" t="s">
        <v>42</v>
      </c>
      <c r="J55" s="36">
        <f>VLOOKUP(I55,Costings!$A$2:$B$10,2,FALSE)</f>
        <v>3.64</v>
      </c>
      <c r="K55" s="36" t="e">
        <f>H55*J55/1000</f>
        <v>#DIV/0!</v>
      </c>
      <c r="L55" s="159"/>
      <c r="M55" s="160"/>
      <c r="N55" s="149"/>
      <c r="O55" s="150"/>
    </row>
    <row r="56" spans="1:15">
      <c r="A56" s="89"/>
      <c r="B56" s="133"/>
      <c r="C56" s="43" t="s">
        <v>330</v>
      </c>
      <c r="D56" s="476"/>
      <c r="E56" s="476"/>
      <c r="F56" s="715"/>
      <c r="G56" s="33">
        <v>1</v>
      </c>
      <c r="H56" s="520" t="e">
        <f>D56*(E56/F56)*G56</f>
        <v>#DIV/0!</v>
      </c>
      <c r="I56" s="734" t="s">
        <v>42</v>
      </c>
      <c r="J56" s="36">
        <f>VLOOKUP(I56,Costings!$A$2:$B$10,2,FALSE)</f>
        <v>3.64</v>
      </c>
      <c r="K56" s="36" t="e">
        <f>H56*J56/1000</f>
        <v>#DIV/0!</v>
      </c>
      <c r="L56" s="159"/>
      <c r="M56" s="160"/>
      <c r="N56" s="149"/>
      <c r="O56" s="150"/>
    </row>
    <row r="57" spans="1:15">
      <c r="A57" s="89"/>
      <c r="B57" s="133"/>
      <c r="C57" s="43"/>
      <c r="D57" s="483"/>
      <c r="E57" s="483"/>
      <c r="F57" s="483"/>
      <c r="G57" s="33"/>
      <c r="H57" s="520"/>
      <c r="I57" s="35"/>
      <c r="J57" s="36"/>
      <c r="K57" s="36"/>
      <c r="L57" s="159"/>
      <c r="M57" s="160"/>
      <c r="N57" s="149"/>
      <c r="O57" s="150"/>
    </row>
    <row r="58" spans="1:15">
      <c r="A58" s="89"/>
      <c r="B58" s="133"/>
      <c r="C58" s="43"/>
      <c r="D58" s="483"/>
      <c r="E58" s="483"/>
      <c r="F58" s="483"/>
      <c r="G58" s="33"/>
      <c r="H58" s="520"/>
      <c r="I58" s="35"/>
      <c r="J58" s="236" t="s">
        <v>313</v>
      </c>
      <c r="K58" s="236"/>
      <c r="L58" s="159">
        <v>1350</v>
      </c>
      <c r="M58" s="160">
        <f>K58*1.1*L58</f>
        <v>0</v>
      </c>
      <c r="N58" s="149">
        <f>L58*1.5</f>
        <v>2025</v>
      </c>
      <c r="O58" s="150">
        <f>N58*K58</f>
        <v>0</v>
      </c>
    </row>
    <row r="59" spans="1:15">
      <c r="A59" s="89"/>
      <c r="B59" s="133"/>
      <c r="C59" s="43"/>
      <c r="D59" s="483"/>
      <c r="E59" s="483"/>
      <c r="F59" s="483"/>
      <c r="G59" s="33"/>
      <c r="H59" s="520"/>
      <c r="I59" s="35"/>
      <c r="J59" s="36"/>
      <c r="K59" s="36"/>
      <c r="L59" s="160"/>
      <c r="M59" s="160"/>
      <c r="N59" s="149"/>
      <c r="O59" s="150"/>
    </row>
    <row r="60" spans="1:15">
      <c r="A60" s="89"/>
      <c r="B60" s="143" t="s">
        <v>314</v>
      </c>
      <c r="C60" s="43"/>
      <c r="D60" s="483"/>
      <c r="E60" s="483"/>
      <c r="F60" s="483"/>
      <c r="G60" s="33"/>
      <c r="H60" s="520"/>
      <c r="I60" s="35"/>
      <c r="J60" s="36"/>
      <c r="K60" s="36"/>
      <c r="L60" s="160"/>
      <c r="M60" s="160"/>
      <c r="N60" s="149"/>
      <c r="O60" s="150"/>
    </row>
    <row r="61" spans="1:15">
      <c r="A61" s="89"/>
      <c r="B61" s="133"/>
      <c r="C61" s="629"/>
      <c r="D61" s="483"/>
      <c r="E61" s="483"/>
      <c r="F61" s="483"/>
      <c r="G61" s="33" t="s">
        <v>10</v>
      </c>
      <c r="H61" s="520">
        <f>ROUNDUP(H70,0)</f>
        <v>0</v>
      </c>
      <c r="I61" s="35">
        <v>1.1000000000000001</v>
      </c>
      <c r="J61" s="36"/>
      <c r="K61" s="242" t="s">
        <v>88</v>
      </c>
      <c r="L61" s="159">
        <f>VLOOKUP(K61,Costings!$A$49:$B$59,2)</f>
        <v>130</v>
      </c>
      <c r="M61" s="160">
        <f>H61*I61*L61</f>
        <v>0</v>
      </c>
      <c r="N61" s="149">
        <f>L61*1.5</f>
        <v>195</v>
      </c>
      <c r="O61" s="150">
        <f>H61*I61*N61</f>
        <v>0</v>
      </c>
    </row>
    <row r="62" spans="1:15">
      <c r="A62" s="89"/>
      <c r="B62" s="133"/>
      <c r="C62" s="629"/>
      <c r="D62" s="483"/>
      <c r="E62" s="483"/>
      <c r="F62" s="483"/>
      <c r="G62" s="33"/>
      <c r="H62" s="520"/>
      <c r="I62" s="35"/>
      <c r="J62" s="36"/>
      <c r="K62" s="36"/>
      <c r="L62" s="159"/>
      <c r="M62" s="160"/>
      <c r="N62" s="149"/>
      <c r="O62" s="150"/>
    </row>
    <row r="63" spans="1:15">
      <c r="A63" s="89"/>
      <c r="B63" s="133"/>
      <c r="C63" s="629" t="s">
        <v>315</v>
      </c>
      <c r="D63" s="476"/>
      <c r="E63" s="476"/>
      <c r="F63" s="716"/>
      <c r="G63" s="33"/>
      <c r="H63" s="520">
        <f>D63*F63</f>
        <v>0</v>
      </c>
      <c r="I63" s="35"/>
      <c r="J63" s="36"/>
      <c r="K63" s="36"/>
      <c r="L63" s="159"/>
      <c r="M63" s="160"/>
      <c r="N63" s="149"/>
      <c r="O63" s="150"/>
    </row>
    <row r="64" spans="1:15">
      <c r="A64" s="89"/>
      <c r="B64" s="133"/>
      <c r="C64" s="629" t="s">
        <v>332</v>
      </c>
      <c r="D64" s="476"/>
      <c r="E64" s="476"/>
      <c r="F64" s="716"/>
      <c r="G64" s="33"/>
      <c r="H64" s="520">
        <f>D64*F64</f>
        <v>0</v>
      </c>
      <c r="I64" s="35"/>
      <c r="J64" s="36"/>
      <c r="K64" s="36"/>
      <c r="L64" s="159"/>
      <c r="M64" s="160"/>
      <c r="N64" s="149"/>
      <c r="O64" s="150"/>
    </row>
    <row r="65" spans="1:15">
      <c r="A65" s="89"/>
      <c r="B65" s="133"/>
      <c r="C65" s="629"/>
      <c r="D65" s="476"/>
      <c r="E65" s="476"/>
      <c r="F65" s="476"/>
      <c r="G65" s="33"/>
      <c r="H65" s="520"/>
      <c r="I65" s="35"/>
      <c r="J65" s="36"/>
      <c r="K65" s="36"/>
      <c r="L65" s="159"/>
      <c r="M65" s="160"/>
      <c r="N65" s="149"/>
      <c r="O65" s="150"/>
    </row>
    <row r="66" spans="1:15">
      <c r="A66" s="89"/>
      <c r="B66" s="133"/>
      <c r="C66" s="43" t="s">
        <v>329</v>
      </c>
      <c r="D66" s="476"/>
      <c r="E66" s="476"/>
      <c r="F66" s="716"/>
      <c r="G66" s="33">
        <v>1</v>
      </c>
      <c r="H66" s="520">
        <f>D66*E66*F66*G66</f>
        <v>0</v>
      </c>
      <c r="I66" s="35"/>
      <c r="J66" s="36"/>
      <c r="K66" s="36"/>
      <c r="L66" s="159"/>
      <c r="M66" s="160"/>
      <c r="N66" s="149"/>
      <c r="O66" s="150"/>
    </row>
    <row r="67" spans="1:15">
      <c r="A67" s="89"/>
      <c r="B67" s="133"/>
      <c r="C67" s="43" t="s">
        <v>330</v>
      </c>
      <c r="D67" s="476"/>
      <c r="E67" s="476"/>
      <c r="F67" s="716"/>
      <c r="G67" s="255">
        <v>1</v>
      </c>
      <c r="H67" s="520">
        <f>D67*E67*F67*G67</f>
        <v>0</v>
      </c>
      <c r="I67" s="35"/>
      <c r="J67" s="36"/>
      <c r="K67" s="36"/>
      <c r="L67" s="159"/>
      <c r="M67" s="160"/>
      <c r="N67" s="149"/>
      <c r="O67" s="150"/>
    </row>
    <row r="68" spans="1:15">
      <c r="A68" s="89"/>
      <c r="B68" s="133"/>
      <c r="C68" s="41"/>
      <c r="D68" s="509"/>
      <c r="E68" s="483"/>
      <c r="F68" s="483"/>
      <c r="G68" s="33"/>
      <c r="H68" s="520">
        <f>D68*F68*G68</f>
        <v>0</v>
      </c>
      <c r="I68" s="35"/>
      <c r="J68" s="36"/>
      <c r="K68" s="36"/>
      <c r="L68" s="159"/>
      <c r="M68" s="160"/>
      <c r="N68" s="149"/>
      <c r="O68" s="150"/>
    </row>
    <row r="69" spans="1:15">
      <c r="A69" s="89"/>
      <c r="B69" s="133"/>
      <c r="C69" s="43" t="s">
        <v>237</v>
      </c>
      <c r="D69" s="483"/>
      <c r="E69" s="483"/>
      <c r="F69" s="483"/>
      <c r="G69" s="33"/>
      <c r="H69" s="533">
        <f>D69*E69*F69</f>
        <v>0</v>
      </c>
      <c r="I69" s="35"/>
      <c r="J69" s="36"/>
      <c r="K69" s="36"/>
      <c r="L69" s="159"/>
      <c r="M69" s="160"/>
      <c r="N69" s="149"/>
      <c r="O69" s="150"/>
    </row>
    <row r="70" spans="1:15" ht="16.2" thickBot="1">
      <c r="A70" s="88"/>
      <c r="B70" s="131"/>
      <c r="C70" s="43"/>
      <c r="D70" s="483"/>
      <c r="E70" s="483"/>
      <c r="F70" s="483"/>
      <c r="G70" s="33"/>
      <c r="H70" s="556">
        <f>SUM(H63:H67)</f>
        <v>0</v>
      </c>
      <c r="I70" s="35"/>
      <c r="J70" s="36"/>
      <c r="K70" s="36"/>
      <c r="L70" s="182"/>
      <c r="M70" s="182"/>
      <c r="N70" s="622"/>
      <c r="O70" s="622"/>
    </row>
    <row r="71" spans="1:15" ht="16.2" thickTop="1">
      <c r="A71" s="88"/>
      <c r="B71" s="131"/>
      <c r="C71" s="43"/>
      <c r="D71" s="483"/>
      <c r="E71" s="483"/>
      <c r="F71" s="483"/>
      <c r="G71" s="33"/>
      <c r="H71" s="520"/>
      <c r="I71" s="35"/>
      <c r="J71" s="36"/>
      <c r="K71" s="36"/>
      <c r="L71" s="182"/>
      <c r="M71" s="182"/>
      <c r="N71" s="622"/>
      <c r="O71" s="622"/>
    </row>
    <row r="72" spans="1:15">
      <c r="A72" s="88"/>
      <c r="B72" s="131"/>
      <c r="C72" s="38" t="s">
        <v>319</v>
      </c>
      <c r="D72" s="483"/>
      <c r="E72" s="483"/>
      <c r="F72" s="483"/>
      <c r="G72" s="33" t="s">
        <v>12</v>
      </c>
      <c r="H72" s="554">
        <f>H75</f>
        <v>0</v>
      </c>
      <c r="I72" s="35">
        <v>1.1000000000000001</v>
      </c>
      <c r="J72" s="36"/>
      <c r="K72" s="36"/>
      <c r="L72" s="155">
        <v>9</v>
      </c>
      <c r="M72" s="156">
        <f>H72*I72*L72</f>
        <v>0</v>
      </c>
      <c r="N72" s="145">
        <f>L72*1.5</f>
        <v>13.5</v>
      </c>
      <c r="O72" s="146">
        <f>N72*I72*H72</f>
        <v>0</v>
      </c>
    </row>
    <row r="73" spans="1:15">
      <c r="A73" s="89"/>
      <c r="B73" s="133"/>
      <c r="C73" s="43"/>
      <c r="D73" s="717"/>
      <c r="E73" s="483"/>
      <c r="F73" s="486"/>
      <c r="G73" s="33"/>
      <c r="H73" s="533">
        <f>D73</f>
        <v>0</v>
      </c>
      <c r="I73" s="35"/>
      <c r="J73" s="36"/>
      <c r="K73" s="36"/>
      <c r="L73" s="159"/>
      <c r="M73" s="160"/>
      <c r="N73" s="149"/>
      <c r="O73" s="150"/>
    </row>
    <row r="74" spans="1:15">
      <c r="A74" s="89"/>
      <c r="B74" s="133"/>
      <c r="C74" s="43" t="s">
        <v>237</v>
      </c>
      <c r="D74" s="483"/>
      <c r="E74" s="483"/>
      <c r="F74" s="483"/>
      <c r="G74" s="33"/>
      <c r="H74" s="533">
        <v>0</v>
      </c>
      <c r="I74" s="35"/>
      <c r="J74" s="36"/>
      <c r="K74" s="36"/>
      <c r="L74" s="159"/>
      <c r="M74" s="160"/>
      <c r="N74" s="149"/>
      <c r="O74" s="150"/>
    </row>
    <row r="75" spans="1:15" ht="16.2" thickBot="1">
      <c r="A75" s="89"/>
      <c r="B75" s="133"/>
      <c r="C75" s="43"/>
      <c r="D75" s="483"/>
      <c r="E75" s="483"/>
      <c r="F75" s="483"/>
      <c r="G75" s="33"/>
      <c r="H75" s="556">
        <f>SUM(H73:H74)</f>
        <v>0</v>
      </c>
      <c r="I75" s="35"/>
      <c r="J75" s="36"/>
      <c r="K75" s="36"/>
      <c r="L75" s="159"/>
      <c r="M75" s="160"/>
      <c r="N75" s="149"/>
      <c r="O75" s="150"/>
    </row>
    <row r="76" spans="1:15" ht="16.2" thickTop="1">
      <c r="A76" s="88"/>
      <c r="B76" s="131"/>
      <c r="C76" s="43"/>
      <c r="D76" s="483"/>
      <c r="E76" s="483"/>
      <c r="F76" s="483"/>
      <c r="G76" s="33"/>
      <c r="H76" s="520"/>
      <c r="I76" s="35"/>
      <c r="J76" s="36"/>
      <c r="K76" s="36"/>
      <c r="L76" s="159"/>
      <c r="M76" s="160"/>
      <c r="N76" s="149"/>
      <c r="O76" s="150"/>
    </row>
    <row r="77" spans="1:15">
      <c r="A77" s="88"/>
      <c r="B77" s="131"/>
      <c r="C77" s="38" t="s">
        <v>235</v>
      </c>
      <c r="D77" s="483"/>
      <c r="E77" s="483"/>
      <c r="F77" s="483"/>
      <c r="G77" s="33" t="s">
        <v>11</v>
      </c>
      <c r="H77" s="554">
        <f>H80</f>
        <v>0</v>
      </c>
      <c r="I77" s="35"/>
      <c r="J77" s="36"/>
      <c r="K77" s="36"/>
      <c r="L77" s="155">
        <v>1</v>
      </c>
      <c r="M77" s="156">
        <f>H77*L77</f>
        <v>0</v>
      </c>
      <c r="N77" s="145">
        <f>L77*1.5</f>
        <v>1.5</v>
      </c>
      <c r="O77" s="146">
        <f>N77*H77</f>
        <v>0</v>
      </c>
    </row>
    <row r="78" spans="1:15">
      <c r="A78" s="89"/>
      <c r="B78" s="133"/>
      <c r="C78" s="43"/>
      <c r="D78" s="483">
        <v>240</v>
      </c>
      <c r="E78" s="476"/>
      <c r="F78" s="486"/>
      <c r="G78" s="33"/>
      <c r="H78" s="533">
        <f>D78*E78</f>
        <v>0</v>
      </c>
      <c r="I78" s="35"/>
      <c r="J78" s="36"/>
      <c r="K78" s="36"/>
      <c r="L78" s="159"/>
      <c r="M78" s="160"/>
      <c r="N78" s="149"/>
      <c r="O78" s="150"/>
    </row>
    <row r="79" spans="1:15">
      <c r="A79" s="89"/>
      <c r="B79" s="133"/>
      <c r="C79" s="43" t="s">
        <v>237</v>
      </c>
      <c r="D79" s="483">
        <f>H61</f>
        <v>0</v>
      </c>
      <c r="E79" s="483">
        <v>8</v>
      </c>
      <c r="F79" s="483"/>
      <c r="G79" s="33"/>
      <c r="H79" s="533">
        <f>D79*E79</f>
        <v>0</v>
      </c>
      <c r="I79" s="35"/>
      <c r="J79" s="36"/>
      <c r="K79" s="36"/>
      <c r="L79" s="159"/>
      <c r="M79" s="160"/>
      <c r="N79" s="149"/>
      <c r="O79" s="150"/>
    </row>
    <row r="80" spans="1:15" ht="16.2" thickBot="1">
      <c r="A80" s="89"/>
      <c r="B80" s="133"/>
      <c r="C80" s="43"/>
      <c r="D80" s="483"/>
      <c r="E80" s="483"/>
      <c r="F80" s="483"/>
      <c r="G80" s="33"/>
      <c r="H80" s="556">
        <f>SUM(H78:H79)</f>
        <v>0</v>
      </c>
      <c r="I80" s="35"/>
      <c r="J80" s="36"/>
      <c r="K80" s="36"/>
      <c r="L80" s="157"/>
      <c r="M80" s="158"/>
      <c r="N80" s="147"/>
      <c r="O80" s="148"/>
    </row>
    <row r="81" spans="1:15" ht="16.2" thickTop="1">
      <c r="A81" s="89"/>
      <c r="B81" s="133"/>
      <c r="C81" s="43"/>
      <c r="D81" s="483"/>
      <c r="E81" s="483"/>
      <c r="F81" s="483"/>
      <c r="G81" s="33"/>
      <c r="H81" s="520"/>
      <c r="I81" s="35"/>
      <c r="J81" s="36"/>
      <c r="K81" s="36"/>
      <c r="L81" s="157"/>
      <c r="M81" s="158"/>
      <c r="N81" s="147"/>
      <c r="O81" s="148"/>
    </row>
    <row r="82" spans="1:15">
      <c r="A82" s="91"/>
      <c r="B82" s="166" t="s">
        <v>134</v>
      </c>
      <c r="C82" s="24"/>
      <c r="D82" s="483"/>
      <c r="E82" s="483"/>
      <c r="F82" s="483"/>
      <c r="G82" s="33"/>
      <c r="H82" s="554"/>
      <c r="I82" s="17"/>
      <c r="J82" s="20"/>
      <c r="K82" s="20"/>
      <c r="L82" s="182"/>
      <c r="M82" s="182"/>
      <c r="N82" s="181"/>
      <c r="O82" s="181"/>
    </row>
    <row r="83" spans="1:15">
      <c r="A83" s="91"/>
      <c r="B83" s="166"/>
      <c r="C83" s="24"/>
      <c r="D83" s="483" t="s">
        <v>135</v>
      </c>
      <c r="E83" s="483" t="s">
        <v>136</v>
      </c>
      <c r="F83" s="483" t="s">
        <v>137</v>
      </c>
      <c r="G83" s="33"/>
      <c r="H83" s="558"/>
      <c r="I83" s="17"/>
      <c r="J83" s="20"/>
      <c r="K83" s="20"/>
      <c r="L83" s="182"/>
      <c r="M83" s="182"/>
      <c r="N83" s="181"/>
      <c r="O83" s="181"/>
    </row>
    <row r="84" spans="1:15">
      <c r="A84" s="91"/>
      <c r="B84" s="130"/>
      <c r="C84" s="86" t="s">
        <v>260</v>
      </c>
      <c r="D84" s="507"/>
      <c r="E84" s="502">
        <v>8</v>
      </c>
      <c r="F84" s="502">
        <v>5</v>
      </c>
      <c r="G84" s="33"/>
      <c r="H84" s="559">
        <f>D84*E84*F84</f>
        <v>0</v>
      </c>
      <c r="I84" s="87"/>
      <c r="J84" s="20"/>
      <c r="K84" s="20"/>
      <c r="L84" s="157">
        <v>35</v>
      </c>
      <c r="M84" s="158">
        <f>H84*L84</f>
        <v>0</v>
      </c>
      <c r="N84" s="147">
        <f>L84*1.5</f>
        <v>52.5</v>
      </c>
      <c r="O84" s="148">
        <f>N84*H84</f>
        <v>0</v>
      </c>
    </row>
    <row r="85" spans="1:15">
      <c r="A85" s="91"/>
      <c r="B85" s="130"/>
      <c r="C85" s="86" t="s">
        <v>320</v>
      </c>
      <c r="D85" s="507"/>
      <c r="E85" s="502">
        <v>8</v>
      </c>
      <c r="F85" s="502">
        <v>3</v>
      </c>
      <c r="G85" s="33"/>
      <c r="H85" s="559">
        <f>D85*E85*F85</f>
        <v>0</v>
      </c>
      <c r="I85" s="87"/>
      <c r="J85" s="20"/>
      <c r="K85" s="20"/>
      <c r="L85" s="157">
        <v>100</v>
      </c>
      <c r="M85" s="158">
        <f>H85*L85</f>
        <v>0</v>
      </c>
      <c r="N85" s="147">
        <f>L85*1.5</f>
        <v>150</v>
      </c>
      <c r="O85" s="148">
        <f>N85*H85</f>
        <v>0</v>
      </c>
    </row>
    <row r="86" spans="1:15">
      <c r="A86" s="88"/>
      <c r="B86" s="131"/>
      <c r="C86" s="43"/>
      <c r="D86" s="502"/>
      <c r="E86" s="502"/>
      <c r="F86" s="502"/>
      <c r="G86" s="33"/>
      <c r="H86" s="559"/>
      <c r="I86" s="87"/>
      <c r="J86" s="20"/>
      <c r="K86" s="20"/>
      <c r="L86" s="182"/>
      <c r="M86" s="182"/>
      <c r="N86" s="181"/>
      <c r="O86" s="181"/>
    </row>
    <row r="87" spans="1:15">
      <c r="A87" s="91"/>
      <c r="B87" s="130"/>
      <c r="C87" s="84" t="s">
        <v>321</v>
      </c>
      <c r="D87" s="483"/>
      <c r="E87" s="483"/>
      <c r="F87" s="483"/>
      <c r="G87" s="33"/>
      <c r="H87" s="520"/>
      <c r="I87" s="17" t="s">
        <v>158</v>
      </c>
      <c r="J87" s="20">
        <v>1.1000000000000001</v>
      </c>
      <c r="K87" s="20"/>
      <c r="L87" s="157">
        <v>750</v>
      </c>
      <c r="M87" s="158">
        <f>H87*J87*L87</f>
        <v>0</v>
      </c>
      <c r="N87" s="147">
        <f>L87*1.5</f>
        <v>1125</v>
      </c>
      <c r="O87" s="148">
        <f>N87*J87*H87</f>
        <v>0</v>
      </c>
    </row>
    <row r="88" spans="1:15">
      <c r="A88" s="91"/>
      <c r="B88" s="130"/>
      <c r="C88" s="84"/>
      <c r="D88" s="483"/>
      <c r="E88" s="483"/>
      <c r="F88" s="483"/>
      <c r="G88" s="33"/>
      <c r="H88" s="520"/>
      <c r="I88" s="17"/>
      <c r="J88" s="20"/>
      <c r="K88" s="20"/>
      <c r="L88" s="157"/>
      <c r="M88" s="623"/>
      <c r="N88" s="147"/>
      <c r="O88" s="148"/>
    </row>
    <row r="89" spans="1:15">
      <c r="A89" s="88"/>
      <c r="B89" s="131"/>
      <c r="C89" s="38"/>
      <c r="D89" s="483"/>
      <c r="E89" s="483"/>
      <c r="F89" s="483"/>
      <c r="G89" s="33"/>
      <c r="H89" s="520"/>
      <c r="I89" s="35"/>
      <c r="J89" s="36"/>
      <c r="K89" s="36"/>
      <c r="L89" s="163">
        <f>M90/H8</f>
        <v>0</v>
      </c>
      <c r="M89" s="156"/>
      <c r="N89" s="153">
        <f>O90/H8</f>
        <v>0</v>
      </c>
      <c r="O89" s="146"/>
    </row>
    <row r="90" spans="1:15">
      <c r="A90" s="90"/>
      <c r="B90" s="132"/>
      <c r="C90" s="67"/>
      <c r="D90" s="499"/>
      <c r="E90" s="499"/>
      <c r="F90" s="499"/>
      <c r="G90" s="69"/>
      <c r="H90" s="528"/>
      <c r="I90" s="75"/>
      <c r="J90" s="76"/>
      <c r="K90" s="77"/>
      <c r="L90" s="154" t="s">
        <v>140</v>
      </c>
      <c r="M90" s="154">
        <f>SUM(M5:M89)</f>
        <v>0</v>
      </c>
      <c r="N90" s="144" t="s">
        <v>140</v>
      </c>
      <c r="O90" s="144">
        <f>SUM(O5:O89)</f>
        <v>0</v>
      </c>
    </row>
  </sheetData>
  <mergeCells count="2">
    <mergeCell ref="C8:F8"/>
    <mergeCell ref="K1:M1"/>
  </mergeCells>
  <dataValidations count="1">
    <dataValidation type="list" allowBlank="1" showInputMessage="1" showErrorMessage="1" sqref="E37:E40" xr:uid="{00000000-0002-0000-0B00-000000000000}">
      <formula1>#REF!</formula1>
    </dataValidation>
  </dataValidations>
  <pageMargins left="0.7" right="0.7" top="0.75" bottom="0.75" header="0.3" footer="0.3"/>
  <pageSetup paperSize="9" scale="4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I38"/>
  <sheetViews>
    <sheetView view="pageBreakPreview" zoomScale="75" zoomScaleNormal="75" zoomScaleSheetLayoutView="75" workbookViewId="0">
      <selection activeCell="J17" sqref="J17"/>
    </sheetView>
  </sheetViews>
  <sheetFormatPr defaultRowHeight="15.6"/>
  <cols>
    <col min="1" max="1" width="18.59765625" customWidth="1"/>
    <col min="3" max="3" width="24.09765625" customWidth="1"/>
    <col min="4" max="6" width="9" style="485" customWidth="1"/>
    <col min="7" max="7" width="11.3984375" style="192" customWidth="1"/>
    <col min="8" max="8" width="10.69921875" style="259" bestFit="1" customWidth="1"/>
    <col min="9" max="9" width="11.59765625" bestFit="1" customWidth="1"/>
    <col min="12" max="12" width="10.69921875" bestFit="1" customWidth="1"/>
    <col min="13" max="13" width="12" customWidth="1"/>
    <col min="14" max="14" width="10.59765625" bestFit="1" customWidth="1"/>
    <col min="15" max="16" width="11.09765625" bestFit="1" customWidth="1"/>
    <col min="17" max="17" width="14.8984375" bestFit="1" customWidth="1"/>
    <col min="18" max="18" width="9.59765625" customWidth="1"/>
    <col min="21" max="21" width="18.8984375" customWidth="1"/>
    <col min="22" max="22" width="13.69921875" customWidth="1"/>
    <col min="23" max="23" width="8.19921875" bestFit="1" customWidth="1"/>
    <col min="24" max="25" width="9.3984375" bestFit="1" customWidth="1"/>
    <col min="26" max="26" width="9.09765625" bestFit="1" customWidth="1"/>
    <col min="27" max="27" width="9.3984375" bestFit="1" customWidth="1"/>
    <col min="28" max="28" width="17.8984375" bestFit="1" customWidth="1"/>
    <col min="29" max="30" width="9.3984375" bestFit="1" customWidth="1"/>
    <col min="31" max="35" width="9.09765625" bestFit="1" customWidth="1"/>
    <col min="37" max="37" width="15.19921875" customWidth="1"/>
  </cols>
  <sheetData>
    <row r="1" spans="1:35">
      <c r="A1" s="94" t="s">
        <v>0</v>
      </c>
      <c r="B1" s="128"/>
      <c r="C1" s="54"/>
      <c r="D1" s="486"/>
      <c r="E1" s="486"/>
      <c r="F1" s="486"/>
      <c r="G1" s="80"/>
      <c r="H1" s="478"/>
      <c r="I1" s="50"/>
      <c r="J1" s="47"/>
      <c r="K1" s="937" t="str">
        <f>SUMMARY!N1</f>
        <v>PROPOSED BUILDING WORKS</v>
      </c>
      <c r="L1" s="937"/>
      <c r="M1" s="937"/>
      <c r="N1" s="2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</row>
    <row r="2" spans="1:35">
      <c r="A2" s="94">
        <f>SUMMARY!A2</f>
        <v>0</v>
      </c>
      <c r="B2" s="128"/>
      <c r="C2" s="54"/>
      <c r="D2" s="486"/>
      <c r="E2" s="486"/>
      <c r="F2" s="486"/>
      <c r="G2" s="80"/>
      <c r="H2" s="478"/>
      <c r="I2" s="50"/>
      <c r="J2" s="47"/>
      <c r="K2" s="47"/>
      <c r="L2" s="47"/>
      <c r="M2" s="53" t="str">
        <f>SUMMARY!N2</f>
        <v>261-263 Balwyn Road, Balwyn North</v>
      </c>
      <c r="N2" s="2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</row>
    <row r="3" spans="1:35">
      <c r="A3" s="49"/>
      <c r="B3" s="128"/>
      <c r="C3" s="54"/>
      <c r="D3" s="486"/>
      <c r="E3" s="486"/>
      <c r="F3" s="486"/>
      <c r="G3" s="80"/>
      <c r="H3" s="478"/>
      <c r="I3" s="50"/>
      <c r="J3" s="47"/>
      <c r="K3" s="47"/>
      <c r="L3" s="47"/>
      <c r="M3" s="51" t="str">
        <f>SUMMARY!N3</f>
        <v>ESTIMATE - V1</v>
      </c>
      <c r="N3" s="22"/>
      <c r="O3" s="52"/>
      <c r="P3" s="52"/>
      <c r="Q3" s="52"/>
      <c r="R3" s="52"/>
      <c r="S3" s="52"/>
      <c r="T3" s="52"/>
      <c r="X3" s="37"/>
      <c r="Y3" s="37"/>
      <c r="Z3" s="37"/>
      <c r="AA3" s="52"/>
    </row>
    <row r="4" spans="1:35">
      <c r="A4" s="102" t="s">
        <v>98</v>
      </c>
      <c r="B4" s="129" t="s">
        <v>99</v>
      </c>
      <c r="C4" s="55"/>
      <c r="D4" s="482" t="s">
        <v>100</v>
      </c>
      <c r="E4" s="482" t="s">
        <v>101</v>
      </c>
      <c r="F4" s="482" t="s">
        <v>102</v>
      </c>
      <c r="G4" s="58" t="s">
        <v>103</v>
      </c>
      <c r="H4" s="518" t="s">
        <v>104</v>
      </c>
      <c r="I4" s="59" t="s">
        <v>105</v>
      </c>
      <c r="J4" s="60" t="s">
        <v>106</v>
      </c>
      <c r="K4" s="60" t="s">
        <v>107</v>
      </c>
      <c r="L4" s="154" t="s">
        <v>108</v>
      </c>
      <c r="M4" s="154" t="s">
        <v>109</v>
      </c>
      <c r="N4" s="144" t="s">
        <v>108</v>
      </c>
      <c r="O4" s="693" t="s">
        <v>109</v>
      </c>
      <c r="P4" s="32"/>
      <c r="Q4" s="32"/>
      <c r="R4" s="32"/>
      <c r="S4" s="32"/>
      <c r="T4" s="32"/>
      <c r="U4" s="199"/>
      <c r="V4" s="199"/>
      <c r="W4" s="189"/>
      <c r="X4" s="198"/>
      <c r="Y4" s="627"/>
      <c r="Z4" s="199"/>
      <c r="AA4" s="199"/>
      <c r="AB4" s="199"/>
      <c r="AC4" s="199"/>
      <c r="AD4" s="199"/>
      <c r="AE4" s="199"/>
      <c r="AF4" s="199"/>
      <c r="AG4" s="199"/>
      <c r="AH4" s="183"/>
      <c r="AI4" s="206"/>
    </row>
    <row r="5" spans="1:35">
      <c r="A5" s="88">
        <v>10</v>
      </c>
      <c r="B5" s="61" t="s">
        <v>333</v>
      </c>
      <c r="C5" s="62"/>
      <c r="D5" s="483"/>
      <c r="E5" s="483"/>
      <c r="F5" s="483"/>
      <c r="G5" s="33"/>
      <c r="H5" s="520"/>
      <c r="I5" s="35"/>
      <c r="J5" s="36"/>
      <c r="K5" s="36"/>
      <c r="L5" s="155"/>
      <c r="M5" s="156"/>
      <c r="N5" s="145"/>
      <c r="O5" s="694"/>
    </row>
    <row r="6" spans="1:35">
      <c r="A6" s="88"/>
      <c r="B6" s="131"/>
      <c r="C6" s="38"/>
      <c r="D6" s="483"/>
      <c r="E6" s="483"/>
      <c r="F6" s="483"/>
      <c r="G6" s="33"/>
      <c r="H6" s="520"/>
      <c r="I6" s="35"/>
      <c r="J6" s="36"/>
      <c r="K6" s="36"/>
      <c r="L6" s="155"/>
      <c r="M6" s="156"/>
      <c r="N6" s="145"/>
      <c r="O6" s="694"/>
    </row>
    <row r="7" spans="1:35">
      <c r="A7" s="88"/>
      <c r="B7" s="61" t="s">
        <v>334</v>
      </c>
      <c r="C7" s="38"/>
      <c r="D7" s="483"/>
      <c r="E7" s="483"/>
      <c r="F7" s="483"/>
      <c r="G7" s="33"/>
      <c r="H7" s="520"/>
      <c r="I7" s="35"/>
      <c r="J7" s="36"/>
      <c r="K7" s="36"/>
      <c r="L7" s="155"/>
      <c r="M7" s="156"/>
      <c r="N7" s="145"/>
      <c r="O7" s="694"/>
    </row>
    <row r="8" spans="1:35">
      <c r="A8" s="88"/>
      <c r="B8" s="131"/>
      <c r="C8" s="233" t="s">
        <v>85</v>
      </c>
      <c r="D8" s="634"/>
      <c r="E8" s="634"/>
      <c r="F8" s="635"/>
      <c r="G8" s="33" t="s">
        <v>10</v>
      </c>
      <c r="H8" s="520">
        <f>D8*E8*F8</f>
        <v>0</v>
      </c>
      <c r="I8" s="636"/>
      <c r="J8" s="36"/>
      <c r="K8" s="242" t="s">
        <v>92</v>
      </c>
      <c r="L8" s="159">
        <f>VLOOKUP(K8,Costings!$A$49:$B$59,2)</f>
        <v>166</v>
      </c>
      <c r="M8" s="160">
        <f>L8*H8*I8</f>
        <v>0</v>
      </c>
      <c r="N8" s="149">
        <f>L8*1.5</f>
        <v>249</v>
      </c>
      <c r="O8" s="695">
        <f>N8*H8*I8</f>
        <v>0</v>
      </c>
    </row>
    <row r="9" spans="1:35" ht="16.2" thickBot="1">
      <c r="A9" s="89"/>
      <c r="B9" s="133"/>
      <c r="C9" s="43" t="s">
        <v>335</v>
      </c>
      <c r="D9" s="63">
        <f>D8</f>
        <v>0</v>
      </c>
      <c r="E9" s="63">
        <f>E8</f>
        <v>0</v>
      </c>
      <c r="F9" s="64">
        <f>F8</f>
        <v>0</v>
      </c>
      <c r="G9" s="33" t="s">
        <v>12</v>
      </c>
      <c r="H9" s="533">
        <f>(D9+E9)*2*F9</f>
        <v>0</v>
      </c>
      <c r="I9" s="35">
        <f>I8</f>
        <v>0</v>
      </c>
      <c r="J9" s="36"/>
      <c r="K9" s="36"/>
      <c r="L9" s="159">
        <v>50</v>
      </c>
      <c r="M9" s="160">
        <f>L9*H9*I9</f>
        <v>0</v>
      </c>
      <c r="N9" s="149">
        <f>L9*1.5</f>
        <v>75</v>
      </c>
      <c r="O9" s="695">
        <f>N9*H9*I9</f>
        <v>0</v>
      </c>
    </row>
    <row r="10" spans="1:35" ht="16.2" thickBot="1">
      <c r="A10" s="89"/>
      <c r="B10" s="133"/>
      <c r="C10" s="43" t="s">
        <v>157</v>
      </c>
      <c r="D10" s="637"/>
      <c r="E10" s="63">
        <f>F9+1</f>
        <v>1</v>
      </c>
      <c r="F10" s="63">
        <f>I8</f>
        <v>0</v>
      </c>
      <c r="G10" s="33" t="s">
        <v>11</v>
      </c>
      <c r="H10" s="520">
        <f>D10*E10*F10</f>
        <v>0</v>
      </c>
      <c r="I10" s="734" t="s">
        <v>41</v>
      </c>
      <c r="J10" s="36">
        <f>VLOOKUP(I10,Costings!$A$2:$B$10,2,FALSE)</f>
        <v>2.5299999999999998</v>
      </c>
      <c r="K10" s="36">
        <f>H10*J10/1000</f>
        <v>0</v>
      </c>
      <c r="L10" s="159">
        <v>1700</v>
      </c>
      <c r="M10" s="160">
        <f>K10*L10</f>
        <v>0</v>
      </c>
      <c r="N10" s="149">
        <f>L10*1.5</f>
        <v>2550</v>
      </c>
      <c r="O10" s="695">
        <f>N10*K10</f>
        <v>0</v>
      </c>
    </row>
    <row r="11" spans="1:35" ht="16.2" thickBot="1">
      <c r="A11" s="89"/>
      <c r="B11" s="133"/>
      <c r="C11" s="43" t="s">
        <v>195</v>
      </c>
      <c r="D11" s="637">
        <v>6.5</v>
      </c>
      <c r="E11" s="63">
        <f>F8</f>
        <v>0</v>
      </c>
      <c r="F11" s="637">
        <v>0.2</v>
      </c>
      <c r="G11" s="576">
        <f>I8</f>
        <v>0</v>
      </c>
      <c r="H11" s="520">
        <f>D11*((E11/F11)+1)*G11</f>
        <v>0</v>
      </c>
      <c r="I11" s="734" t="s">
        <v>39</v>
      </c>
      <c r="J11" s="36">
        <f>VLOOKUP(I11,Costings!$A$2:$B$10,2,FALSE)</f>
        <v>0.91</v>
      </c>
      <c r="K11" s="36">
        <f>H11*J11/1000</f>
        <v>0</v>
      </c>
      <c r="L11" s="159">
        <v>1700</v>
      </c>
      <c r="M11" s="160">
        <f>K11*L11</f>
        <v>0</v>
      </c>
      <c r="N11" s="149">
        <f>L11*1.5</f>
        <v>2550</v>
      </c>
      <c r="O11" s="695">
        <f>N11*K11</f>
        <v>0</v>
      </c>
    </row>
    <row r="12" spans="1:35">
      <c r="A12" s="89"/>
      <c r="B12" s="133"/>
      <c r="C12" s="43" t="s">
        <v>336</v>
      </c>
      <c r="D12" s="63">
        <f>D10</f>
        <v>0</v>
      </c>
      <c r="E12" s="637">
        <v>2</v>
      </c>
      <c r="F12" s="63">
        <f>I8</f>
        <v>0</v>
      </c>
      <c r="G12" s="33" t="s">
        <v>11</v>
      </c>
      <c r="H12" s="520">
        <f>D12*E12*F12</f>
        <v>0</v>
      </c>
      <c r="I12" s="734" t="s">
        <v>41</v>
      </c>
      <c r="J12" s="36">
        <f>VLOOKUP(I12,Costings!$A$2:$B$10,2,FALSE)</f>
        <v>2.5299999999999998</v>
      </c>
      <c r="K12" s="36">
        <f>H12*J12/1000</f>
        <v>0</v>
      </c>
      <c r="L12" s="159">
        <v>1350</v>
      </c>
      <c r="M12" s="160">
        <f>K12*L12</f>
        <v>0</v>
      </c>
      <c r="N12" s="149">
        <f>L12*1.5</f>
        <v>2025</v>
      </c>
      <c r="O12" s="695">
        <f>N12*K12</f>
        <v>0</v>
      </c>
    </row>
    <row r="13" spans="1:35">
      <c r="A13" s="89"/>
      <c r="B13" s="133"/>
      <c r="C13" s="43"/>
      <c r="D13" s="63"/>
      <c r="E13" s="63"/>
      <c r="F13" s="63"/>
      <c r="G13" s="33"/>
      <c r="H13" s="520"/>
      <c r="I13" s="471"/>
      <c r="J13" s="638" t="s">
        <v>26</v>
      </c>
      <c r="K13" s="236">
        <f>SUM(K10:K12)</f>
        <v>0</v>
      </c>
      <c r="L13" s="639" t="s">
        <v>158</v>
      </c>
      <c r="M13" s="160"/>
      <c r="N13" s="149"/>
      <c r="O13" s="695"/>
    </row>
    <row r="14" spans="1:35">
      <c r="A14" s="91"/>
      <c r="B14" s="166" t="s">
        <v>134</v>
      </c>
      <c r="C14" s="24"/>
      <c r="D14" s="483"/>
      <c r="E14" s="483"/>
      <c r="F14" s="483"/>
      <c r="G14" s="33"/>
      <c r="H14" s="554"/>
      <c r="I14" s="17"/>
      <c r="J14" s="20"/>
      <c r="K14" s="20"/>
      <c r="L14" s="157"/>
      <c r="M14" s="158"/>
      <c r="N14" s="147"/>
      <c r="O14" s="706"/>
    </row>
    <row r="15" spans="1:35">
      <c r="A15" s="91"/>
      <c r="B15" s="166"/>
      <c r="C15" s="24"/>
      <c r="D15" s="483" t="s">
        <v>135</v>
      </c>
      <c r="E15" s="483" t="s">
        <v>136</v>
      </c>
      <c r="F15" s="483" t="s">
        <v>137</v>
      </c>
      <c r="G15" s="33"/>
      <c r="H15" s="558"/>
      <c r="I15" s="17"/>
      <c r="J15" s="20"/>
      <c r="K15" s="20"/>
      <c r="L15" s="157"/>
      <c r="M15" s="158"/>
      <c r="N15" s="147"/>
      <c r="O15" s="706"/>
    </row>
    <row r="16" spans="1:35">
      <c r="A16" s="91"/>
      <c r="B16" s="130"/>
      <c r="C16" s="86" t="s">
        <v>260</v>
      </c>
      <c r="D16" s="507"/>
      <c r="E16" s="502">
        <v>8</v>
      </c>
      <c r="F16" s="502">
        <v>1</v>
      </c>
      <c r="G16" s="33"/>
      <c r="H16" s="559">
        <f>D16*E16*F16</f>
        <v>0</v>
      </c>
      <c r="I16" s="87"/>
      <c r="J16" s="20"/>
      <c r="K16" s="20"/>
      <c r="L16" s="157">
        <v>50</v>
      </c>
      <c r="M16" s="158">
        <f>H16*L16</f>
        <v>0</v>
      </c>
      <c r="N16" s="147">
        <f>L16*1.5</f>
        <v>75</v>
      </c>
      <c r="O16" s="706">
        <f>N16*H16</f>
        <v>0</v>
      </c>
    </row>
    <row r="17" spans="1:15">
      <c r="A17" s="91"/>
      <c r="B17" s="41"/>
      <c r="C17" s="452" t="s">
        <v>261</v>
      </c>
      <c r="D17" s="507"/>
      <c r="E17" s="502">
        <v>8</v>
      </c>
      <c r="F17" s="502">
        <v>1</v>
      </c>
      <c r="G17" s="33"/>
      <c r="H17" s="559">
        <f>D17*E17*F17</f>
        <v>0</v>
      </c>
      <c r="I17" s="87"/>
      <c r="J17" s="20"/>
      <c r="K17" s="20"/>
      <c r="L17" s="157">
        <v>50</v>
      </c>
      <c r="M17" s="158">
        <f>H17*L17</f>
        <v>0</v>
      </c>
      <c r="N17" s="147">
        <f>L17*1.5</f>
        <v>75</v>
      </c>
      <c r="O17" s="706">
        <f>N17*H17</f>
        <v>0</v>
      </c>
    </row>
    <row r="18" spans="1:15">
      <c r="A18" s="89"/>
      <c r="B18" s="133"/>
      <c r="C18" s="43"/>
      <c r="D18" s="483"/>
      <c r="E18" s="483"/>
      <c r="F18" s="486"/>
      <c r="G18" s="33"/>
      <c r="H18" s="533"/>
      <c r="I18" s="35"/>
      <c r="J18" s="36"/>
      <c r="K18" s="36"/>
      <c r="L18" s="159"/>
      <c r="M18" s="160"/>
      <c r="N18" s="149"/>
      <c r="O18" s="695"/>
    </row>
    <row r="19" spans="1:15">
      <c r="A19" s="88"/>
      <c r="B19" s="61" t="s">
        <v>235</v>
      </c>
      <c r="C19" s="38"/>
      <c r="D19" s="483"/>
      <c r="E19" s="483"/>
      <c r="F19" s="483"/>
      <c r="G19" s="33" t="s">
        <v>236</v>
      </c>
      <c r="H19" s="554">
        <f>H22</f>
        <v>0</v>
      </c>
      <c r="I19" s="35"/>
      <c r="J19" s="36"/>
      <c r="K19" s="36"/>
      <c r="L19" s="155">
        <v>1</v>
      </c>
      <c r="M19" s="156">
        <f>H19*L19</f>
        <v>0</v>
      </c>
      <c r="N19" s="145">
        <v>1.5</v>
      </c>
      <c r="O19" s="694">
        <f>N19*H19</f>
        <v>0</v>
      </c>
    </row>
    <row r="20" spans="1:15">
      <c r="A20" s="89"/>
      <c r="B20" s="133"/>
      <c r="C20" s="43"/>
      <c r="D20" s="483">
        <v>180</v>
      </c>
      <c r="E20" s="476">
        <v>0</v>
      </c>
      <c r="F20" s="486"/>
      <c r="G20" s="33"/>
      <c r="H20" s="533">
        <f>D20*E20</f>
        <v>0</v>
      </c>
      <c r="I20" s="35"/>
      <c r="J20" s="36"/>
      <c r="K20" s="36"/>
      <c r="L20" s="159"/>
      <c r="M20" s="160"/>
      <c r="N20" s="149"/>
      <c r="O20" s="695"/>
    </row>
    <row r="21" spans="1:15">
      <c r="A21" s="89"/>
      <c r="B21" s="133"/>
      <c r="C21" s="43"/>
      <c r="D21" s="483">
        <f>H8*I8</f>
        <v>0</v>
      </c>
      <c r="E21" s="483">
        <v>7</v>
      </c>
      <c r="F21" s="483"/>
      <c r="G21" s="33"/>
      <c r="H21" s="533">
        <f>D21*E21</f>
        <v>0</v>
      </c>
      <c r="I21" s="35"/>
      <c r="J21" s="36"/>
      <c r="K21" s="36"/>
      <c r="L21" s="159"/>
      <c r="M21" s="160"/>
      <c r="N21" s="149"/>
      <c r="O21" s="695"/>
    </row>
    <row r="22" spans="1:15" ht="16.2" thickBot="1">
      <c r="A22" s="89"/>
      <c r="B22" s="133"/>
      <c r="C22" s="43"/>
      <c r="D22" s="483"/>
      <c r="E22" s="483"/>
      <c r="F22" s="483"/>
      <c r="G22" s="33"/>
      <c r="H22" s="556">
        <f>SUM(H20:H21)</f>
        <v>0</v>
      </c>
      <c r="I22" s="35"/>
      <c r="J22" s="36"/>
      <c r="K22" s="36"/>
      <c r="L22" s="159"/>
      <c r="M22" s="160"/>
      <c r="N22" s="149"/>
      <c r="O22" s="695"/>
    </row>
    <row r="23" spans="1:15" ht="16.2" thickTop="1">
      <c r="A23" s="89"/>
      <c r="B23" s="133"/>
      <c r="C23" s="43"/>
      <c r="D23" s="483"/>
      <c r="E23" s="483"/>
      <c r="F23" s="486"/>
      <c r="G23" s="33"/>
      <c r="H23" s="533"/>
      <c r="I23" s="35"/>
      <c r="J23" s="36"/>
      <c r="K23" s="36"/>
      <c r="L23" s="159"/>
      <c r="M23" s="160"/>
      <c r="N23" s="149"/>
      <c r="O23" s="695"/>
    </row>
    <row r="24" spans="1:15">
      <c r="A24" s="89"/>
      <c r="B24" s="133"/>
      <c r="C24" s="43" t="s">
        <v>237</v>
      </c>
      <c r="D24" s="483"/>
      <c r="E24" s="483"/>
      <c r="F24" s="483"/>
      <c r="G24" s="33"/>
      <c r="H24" s="533">
        <f>D24*E24*F24</f>
        <v>0</v>
      </c>
      <c r="I24" s="35"/>
      <c r="J24" s="36"/>
      <c r="K24" s="36"/>
      <c r="L24" s="159"/>
      <c r="M24" s="160"/>
      <c r="N24" s="149"/>
      <c r="O24" s="695"/>
    </row>
    <row r="25" spans="1:15" ht="16.2" thickBot="1">
      <c r="A25" s="89"/>
      <c r="B25" s="133"/>
      <c r="C25" s="43"/>
      <c r="D25" s="483"/>
      <c r="E25" s="483"/>
      <c r="F25" s="483"/>
      <c r="G25" s="33"/>
      <c r="H25" s="556"/>
      <c r="I25" s="35"/>
      <c r="J25" s="36"/>
      <c r="K25" s="36"/>
      <c r="L25" s="159"/>
      <c r="M25" s="160"/>
      <c r="N25" s="149"/>
      <c r="O25" s="695"/>
    </row>
    <row r="26" spans="1:15" ht="16.2" thickTop="1">
      <c r="A26" s="89"/>
      <c r="B26" s="133"/>
      <c r="C26" s="43"/>
      <c r="D26" s="483"/>
      <c r="E26" s="483"/>
      <c r="F26" s="483"/>
      <c r="G26" s="33"/>
      <c r="H26" s="520"/>
      <c r="I26" s="35"/>
      <c r="J26" s="36"/>
      <c r="K26" s="36"/>
      <c r="L26" s="472" t="e">
        <f>M27/I8</f>
        <v>#DIV/0!</v>
      </c>
      <c r="M26" s="160"/>
      <c r="N26" s="473" t="e">
        <f>O27/I8</f>
        <v>#DIV/0!</v>
      </c>
      <c r="O26" s="695"/>
    </row>
    <row r="27" spans="1:15">
      <c r="A27" s="90"/>
      <c r="B27" s="132"/>
      <c r="C27" s="67"/>
      <c r="D27" s="499"/>
      <c r="E27" s="499"/>
      <c r="F27" s="499"/>
      <c r="G27" s="69"/>
      <c r="H27" s="528"/>
      <c r="I27" s="75"/>
      <c r="J27" s="76"/>
      <c r="K27" s="77"/>
      <c r="L27" s="154" t="s">
        <v>140</v>
      </c>
      <c r="M27" s="154">
        <f>SUM(M5:M26)</f>
        <v>0</v>
      </c>
      <c r="N27" s="144" t="s">
        <v>140</v>
      </c>
      <c r="O27" s="693">
        <f>SUM(O5:O26)</f>
        <v>0</v>
      </c>
    </row>
    <row r="28" spans="1:15">
      <c r="J28" s="808">
        <f>SUM(J11:J24)-J18</f>
        <v>3.44</v>
      </c>
    </row>
    <row r="38" ht="19.95" customHeight="1"/>
  </sheetData>
  <mergeCells count="1">
    <mergeCell ref="K1:M1"/>
  </mergeCells>
  <dataValidations disablePrompts="1" count="1">
    <dataValidation type="list" allowBlank="1" showInputMessage="1" showErrorMessage="1" sqref="I13" xr:uid="{00000000-0002-0000-0C00-000000000000}">
      <formula1>#REF!</formula1>
    </dataValidation>
  </dataValidations>
  <pageMargins left="0.7" right="0.7" top="0.75" bottom="0.75" header="0.3" footer="0.3"/>
  <pageSetup paperSize="9" scale="45" orientation="portrait" r:id="rId1"/>
  <colBreaks count="1" manualBreakCount="1">
    <brk id="15" max="52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A40"/>
  <sheetViews>
    <sheetView view="pageBreakPreview" zoomScale="75" zoomScaleNormal="75" zoomScaleSheetLayoutView="75" workbookViewId="0">
      <selection activeCell="L22" sqref="L22"/>
    </sheetView>
  </sheetViews>
  <sheetFormatPr defaultRowHeight="15.6"/>
  <cols>
    <col min="1" max="1" width="18.59765625" customWidth="1"/>
    <col min="3" max="3" width="24.09765625" customWidth="1"/>
    <col min="4" max="6" width="9" style="485" customWidth="1"/>
    <col min="7" max="7" width="11.3984375" style="192" customWidth="1"/>
    <col min="8" max="8" width="10.69921875" style="259" bestFit="1" customWidth="1"/>
    <col min="9" max="9" width="11.59765625" bestFit="1" customWidth="1"/>
    <col min="12" max="12" width="10.69921875" bestFit="1" customWidth="1"/>
    <col min="13" max="13" width="12" customWidth="1"/>
    <col min="14" max="14" width="10.59765625" bestFit="1" customWidth="1"/>
    <col min="15" max="16" width="11.09765625" bestFit="1" customWidth="1"/>
    <col min="17" max="17" width="14.8984375" bestFit="1" customWidth="1"/>
    <col min="18" max="18" width="9.59765625" customWidth="1"/>
    <col min="21" max="21" width="18.8984375" customWidth="1"/>
    <col min="22" max="22" width="13.69921875" customWidth="1"/>
    <col min="23" max="23" width="8.19921875" bestFit="1" customWidth="1"/>
    <col min="24" max="25" width="9.3984375" bestFit="1" customWidth="1"/>
    <col min="26" max="26" width="9.09765625" bestFit="1" customWidth="1"/>
    <col min="27" max="27" width="9.3984375" bestFit="1" customWidth="1"/>
    <col min="28" max="28" width="17.8984375" bestFit="1" customWidth="1"/>
    <col min="29" max="30" width="9.3984375" bestFit="1" customWidth="1"/>
    <col min="31" max="35" width="9.09765625" bestFit="1" customWidth="1"/>
    <col min="37" max="37" width="15.19921875" customWidth="1"/>
  </cols>
  <sheetData>
    <row r="1" spans="1:27">
      <c r="A1" s="94" t="s">
        <v>0</v>
      </c>
      <c r="B1" s="128"/>
      <c r="C1" s="54"/>
      <c r="D1" s="486"/>
      <c r="E1" s="486"/>
      <c r="F1" s="486"/>
      <c r="G1" s="80"/>
      <c r="H1" s="478"/>
      <c r="I1" s="50"/>
      <c r="J1" s="47"/>
      <c r="K1" s="937" t="str">
        <f>SUMMARY!N1</f>
        <v>PROPOSED BUILDING WORKS</v>
      </c>
      <c r="L1" s="937"/>
      <c r="M1" s="937"/>
      <c r="N1" s="2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</row>
    <row r="2" spans="1:27">
      <c r="A2" s="94">
        <f>SUMMARY!A2</f>
        <v>0</v>
      </c>
      <c r="B2" s="128"/>
      <c r="C2" s="54"/>
      <c r="D2" s="486"/>
      <c r="E2" s="486"/>
      <c r="F2" s="486"/>
      <c r="G2" s="80"/>
      <c r="H2" s="478"/>
      <c r="I2" s="50"/>
      <c r="J2" s="47"/>
      <c r="K2" s="47"/>
      <c r="L2" s="47"/>
      <c r="M2" s="53" t="str">
        <f>SUMMARY!N2</f>
        <v>261-263 Balwyn Road, Balwyn North</v>
      </c>
      <c r="N2" s="2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</row>
    <row r="3" spans="1:27">
      <c r="A3" s="49"/>
      <c r="B3" s="128"/>
      <c r="C3" s="54"/>
      <c r="D3" s="486"/>
      <c r="E3" s="486"/>
      <c r="F3" s="486"/>
      <c r="G3" s="80"/>
      <c r="H3" s="478"/>
      <c r="I3" s="50"/>
      <c r="J3" s="47"/>
      <c r="K3" s="47"/>
      <c r="L3" s="47"/>
      <c r="M3" s="51" t="str">
        <f>SUMMARY!N3</f>
        <v>ESTIMATE - V1</v>
      </c>
      <c r="N3" s="22"/>
      <c r="O3" s="52"/>
    </row>
    <row r="4" spans="1:27">
      <c r="A4" s="102" t="s">
        <v>98</v>
      </c>
      <c r="B4" s="129" t="s">
        <v>99</v>
      </c>
      <c r="C4" s="55"/>
      <c r="D4" s="482" t="s">
        <v>100</v>
      </c>
      <c r="E4" s="482" t="s">
        <v>101</v>
      </c>
      <c r="F4" s="482" t="s">
        <v>102</v>
      </c>
      <c r="G4" s="58" t="s">
        <v>103</v>
      </c>
      <c r="H4" s="518" t="s">
        <v>104</v>
      </c>
      <c r="I4" s="59" t="s">
        <v>105</v>
      </c>
      <c r="J4" s="60" t="s">
        <v>106</v>
      </c>
      <c r="K4" s="60" t="s">
        <v>107</v>
      </c>
      <c r="L4" s="154" t="s">
        <v>108</v>
      </c>
      <c r="M4" s="154" t="s">
        <v>109</v>
      </c>
      <c r="N4" s="144" t="s">
        <v>108</v>
      </c>
      <c r="O4" s="144" t="s">
        <v>109</v>
      </c>
      <c r="P4" s="199"/>
      <c r="Q4" s="199"/>
      <c r="R4" s="199"/>
      <c r="S4" s="199"/>
      <c r="T4" s="199"/>
      <c r="U4" s="183"/>
      <c r="V4" s="206"/>
    </row>
    <row r="5" spans="1:27">
      <c r="A5" s="88">
        <v>11</v>
      </c>
      <c r="B5" s="61" t="s">
        <v>379</v>
      </c>
      <c r="C5" s="62"/>
      <c r="D5" s="483"/>
      <c r="E5" s="483"/>
      <c r="F5" s="483"/>
      <c r="G5" s="33"/>
      <c r="H5" s="520"/>
      <c r="I5" s="35"/>
      <c r="J5" s="36"/>
      <c r="K5" s="36"/>
      <c r="L5" s="155"/>
      <c r="M5" s="156"/>
      <c r="N5" s="145"/>
      <c r="O5" s="146"/>
    </row>
    <row r="6" spans="1:27">
      <c r="A6" s="88"/>
      <c r="B6" s="131"/>
      <c r="C6" s="38"/>
      <c r="D6" s="483"/>
      <c r="E6" s="483"/>
      <c r="F6" s="483"/>
      <c r="G6" s="33"/>
      <c r="H6" s="520"/>
      <c r="I6" s="35"/>
      <c r="J6" s="36"/>
      <c r="K6" s="36"/>
      <c r="L6" s="155"/>
      <c r="M6" s="156"/>
      <c r="N6" s="145"/>
      <c r="O6" s="146"/>
    </row>
    <row r="7" spans="1:27">
      <c r="A7" s="88"/>
      <c r="B7" s="61"/>
      <c r="D7" s="483"/>
      <c r="E7" s="483"/>
      <c r="F7" s="483"/>
      <c r="G7" s="33" t="s">
        <v>12</v>
      </c>
      <c r="H7" s="520"/>
      <c r="I7" s="35"/>
      <c r="J7" s="36"/>
      <c r="K7" s="36"/>
      <c r="L7" s="155"/>
      <c r="M7" s="156"/>
      <c r="N7" s="145"/>
      <c r="O7" s="146"/>
    </row>
    <row r="8" spans="1:27">
      <c r="A8" s="88"/>
      <c r="B8" s="131"/>
      <c r="C8" s="233" t="s">
        <v>337</v>
      </c>
      <c r="D8" s="718">
        <v>14.5</v>
      </c>
      <c r="E8" s="640"/>
      <c r="F8" s="641">
        <v>2.4</v>
      </c>
      <c r="G8" s="33"/>
      <c r="H8" s="554">
        <f>D8*F8</f>
        <v>34.799999999999997</v>
      </c>
      <c r="I8" s="35"/>
      <c r="J8" s="36"/>
      <c r="K8" s="36"/>
      <c r="L8" s="155"/>
      <c r="M8" s="156"/>
      <c r="N8" s="145"/>
      <c r="O8" s="146"/>
    </row>
    <row r="9" spans="1:27">
      <c r="A9" s="89"/>
      <c r="B9" s="133"/>
      <c r="C9" s="233" t="s">
        <v>338</v>
      </c>
      <c r="D9" s="719">
        <v>5.8</v>
      </c>
      <c r="E9" s="642"/>
      <c r="F9" s="643">
        <v>5.2</v>
      </c>
      <c r="G9" s="33"/>
      <c r="H9" s="554">
        <f t="shared" ref="H9:H11" si="0">D9*F9</f>
        <v>30.16</v>
      </c>
      <c r="I9" s="35"/>
      <c r="J9" s="36"/>
      <c r="K9" s="36"/>
      <c r="L9" s="159"/>
      <c r="M9" s="160"/>
      <c r="N9" s="149"/>
      <c r="O9" s="150"/>
    </row>
    <row r="10" spans="1:27">
      <c r="A10" s="89"/>
      <c r="B10" s="133"/>
      <c r="C10" s="233"/>
      <c r="D10" s="719">
        <v>6.4</v>
      </c>
      <c r="E10" s="642"/>
      <c r="F10" s="643">
        <v>2.7</v>
      </c>
      <c r="G10" s="33"/>
      <c r="H10" s="554">
        <f t="shared" si="0"/>
        <v>17.28</v>
      </c>
      <c r="I10" s="35"/>
      <c r="J10" s="36"/>
      <c r="K10" s="36"/>
      <c r="L10" s="159"/>
      <c r="M10" s="160"/>
      <c r="N10" s="149"/>
      <c r="O10" s="150"/>
    </row>
    <row r="11" spans="1:27">
      <c r="A11" s="89"/>
      <c r="B11" s="133"/>
      <c r="C11" s="233"/>
      <c r="D11" s="719">
        <v>15.5</v>
      </c>
      <c r="E11" s="642"/>
      <c r="F11" s="643">
        <v>4.3</v>
      </c>
      <c r="G11" s="33"/>
      <c r="H11" s="554">
        <f t="shared" si="0"/>
        <v>66.649999999999991</v>
      </c>
      <c r="I11" s="35"/>
      <c r="J11" s="36"/>
      <c r="K11" s="36"/>
      <c r="L11" s="159"/>
      <c r="M11" s="160"/>
      <c r="N11" s="149"/>
      <c r="O11" s="150"/>
    </row>
    <row r="12" spans="1:27">
      <c r="A12" s="88"/>
      <c r="B12" s="131"/>
      <c r="C12" s="233" t="s">
        <v>339</v>
      </c>
      <c r="D12" s="718">
        <v>172</v>
      </c>
      <c r="E12" s="640"/>
      <c r="F12" s="641">
        <v>3</v>
      </c>
      <c r="G12" s="33"/>
      <c r="H12" s="554">
        <v>512</v>
      </c>
      <c r="I12" s="35"/>
      <c r="J12" s="36"/>
      <c r="K12" s="36"/>
      <c r="L12" s="155"/>
      <c r="M12" s="156"/>
      <c r="N12" s="145"/>
      <c r="O12" s="146"/>
    </row>
    <row r="13" spans="1:27">
      <c r="A13" s="89"/>
      <c r="B13" s="133"/>
      <c r="C13" s="233" t="s">
        <v>340</v>
      </c>
      <c r="D13" s="719">
        <v>115</v>
      </c>
      <c r="E13" s="642"/>
      <c r="F13" s="643">
        <v>3</v>
      </c>
      <c r="G13" s="33"/>
      <c r="H13" s="554">
        <v>589</v>
      </c>
      <c r="I13" s="35"/>
      <c r="J13" s="36"/>
      <c r="K13" s="36"/>
      <c r="L13" s="159"/>
      <c r="M13" s="160"/>
      <c r="N13" s="149"/>
      <c r="O13" s="150"/>
    </row>
    <row r="14" spans="1:27">
      <c r="A14" s="88"/>
      <c r="B14" s="131"/>
      <c r="C14" s="233" t="s">
        <v>341</v>
      </c>
      <c r="D14" s="718">
        <v>106.5</v>
      </c>
      <c r="E14" s="640"/>
      <c r="F14" s="641">
        <v>3</v>
      </c>
      <c r="G14" s="33"/>
      <c r="H14" s="554">
        <v>231</v>
      </c>
      <c r="I14" s="35"/>
      <c r="J14" s="36"/>
      <c r="K14" s="36"/>
      <c r="L14" s="155"/>
      <c r="M14" s="156"/>
      <c r="N14" s="145"/>
      <c r="O14" s="146"/>
    </row>
    <row r="15" spans="1:27">
      <c r="A15" s="89"/>
      <c r="B15" s="133"/>
      <c r="C15" s="233"/>
      <c r="D15" s="719"/>
      <c r="E15" s="642"/>
      <c r="F15" s="643"/>
      <c r="G15" s="33"/>
      <c r="H15" s="554"/>
      <c r="I15" s="35"/>
      <c r="J15" s="36"/>
      <c r="K15" s="36"/>
      <c r="L15" s="159"/>
      <c r="M15" s="160"/>
      <c r="N15" s="149"/>
      <c r="O15" s="150"/>
    </row>
    <row r="16" spans="1:27">
      <c r="A16" s="88"/>
      <c r="B16" s="133"/>
      <c r="C16" s="233"/>
      <c r="D16" s="719"/>
      <c r="E16" s="642"/>
      <c r="F16" s="643"/>
      <c r="G16" s="33"/>
      <c r="H16" s="554"/>
      <c r="I16" s="35"/>
      <c r="J16" s="36"/>
      <c r="K16" s="36"/>
      <c r="L16" s="159"/>
      <c r="M16" s="160"/>
      <c r="N16" s="149"/>
      <c r="O16" s="150"/>
    </row>
    <row r="17" spans="1:15">
      <c r="A17" s="89"/>
      <c r="B17" s="131"/>
      <c r="C17" s="233"/>
      <c r="D17" s="718"/>
      <c r="E17" s="640"/>
      <c r="F17" s="641"/>
      <c r="G17" s="33"/>
      <c r="H17" s="554"/>
      <c r="I17" s="35"/>
      <c r="J17" s="36"/>
      <c r="K17" s="36"/>
      <c r="L17" s="155"/>
      <c r="M17" s="156"/>
      <c r="N17" s="145"/>
      <c r="O17" s="146"/>
    </row>
    <row r="18" spans="1:15">
      <c r="A18" s="89"/>
      <c r="B18" s="133"/>
      <c r="C18" s="233"/>
      <c r="D18" s="719"/>
      <c r="E18" s="642"/>
      <c r="F18" s="643"/>
      <c r="G18" s="33"/>
      <c r="H18" s="554"/>
      <c r="I18" s="35"/>
      <c r="J18" s="36"/>
      <c r="K18" s="36"/>
      <c r="L18" s="159"/>
      <c r="M18" s="160"/>
      <c r="N18" s="149"/>
      <c r="O18" s="150"/>
    </row>
    <row r="19" spans="1:15">
      <c r="A19" s="89"/>
      <c r="B19" s="131"/>
      <c r="C19" s="629"/>
      <c r="D19" s="718"/>
      <c r="E19" s="640"/>
      <c r="F19" s="641"/>
      <c r="G19" s="33"/>
      <c r="H19" s="554"/>
      <c r="I19" s="35"/>
      <c r="J19" s="36"/>
      <c r="K19" s="36"/>
      <c r="L19" s="155"/>
      <c r="M19" s="156"/>
      <c r="N19" s="145"/>
      <c r="O19" s="146"/>
    </row>
    <row r="20" spans="1:15">
      <c r="B20" s="133"/>
      <c r="C20" s="233"/>
      <c r="D20" s="719"/>
      <c r="E20" s="642"/>
      <c r="F20" s="643">
        <v>1</v>
      </c>
      <c r="G20" s="33"/>
      <c r="H20" s="554">
        <f>D20*F20</f>
        <v>0</v>
      </c>
      <c r="I20" s="35"/>
      <c r="J20" s="36"/>
      <c r="K20" s="36"/>
      <c r="L20" s="159"/>
      <c r="M20" s="160"/>
      <c r="N20" s="149"/>
      <c r="O20" s="150"/>
    </row>
    <row r="21" spans="1:15" ht="16.2" thickBot="1">
      <c r="B21" s="133"/>
      <c r="C21" s="233"/>
      <c r="D21" s="483"/>
      <c r="E21" s="483"/>
      <c r="F21" s="483"/>
      <c r="G21" s="33"/>
      <c r="H21" s="556">
        <f>SUM(H8:H20)</f>
        <v>1480.8899999999999</v>
      </c>
      <c r="I21" s="35"/>
      <c r="J21" s="36"/>
      <c r="K21" s="36"/>
      <c r="L21" s="159">
        <v>171.56285</v>
      </c>
      <c r="M21" s="160">
        <f>L21*H21</f>
        <v>254065.70893649998</v>
      </c>
      <c r="N21" s="149">
        <v>260</v>
      </c>
      <c r="O21" s="150">
        <f>N21*H21</f>
        <v>385031.39999999997</v>
      </c>
    </row>
    <row r="22" spans="1:15" ht="16.2" thickTop="1">
      <c r="B22" s="133"/>
      <c r="C22" s="43"/>
      <c r="D22" s="483"/>
      <c r="E22" s="483"/>
      <c r="F22" s="483"/>
      <c r="G22" s="33"/>
      <c r="H22" s="520"/>
      <c r="I22" s="35"/>
      <c r="J22" s="36"/>
      <c r="K22" s="36"/>
      <c r="L22" s="472">
        <f>N22/1.496</f>
        <v>173.79679144385028</v>
      </c>
      <c r="M22" s="160"/>
      <c r="N22" s="473">
        <v>260</v>
      </c>
      <c r="O22" s="150"/>
    </row>
    <row r="23" spans="1:15">
      <c r="A23" s="90"/>
      <c r="B23" s="132"/>
      <c r="C23" s="67"/>
      <c r="D23" s="499"/>
      <c r="E23" s="499"/>
      <c r="F23" s="499"/>
      <c r="G23" s="69"/>
      <c r="H23" s="528"/>
      <c r="I23" s="75"/>
      <c r="J23" s="76"/>
      <c r="K23" s="77"/>
      <c r="L23" s="154" t="s">
        <v>140</v>
      </c>
      <c r="M23" s="154">
        <f>SUM(M5:M22)</f>
        <v>254065.70893649998</v>
      </c>
      <c r="N23" s="144" t="s">
        <v>140</v>
      </c>
      <c r="O23" s="144">
        <f>SUM(O5:O22)</f>
        <v>385031.39999999997</v>
      </c>
    </row>
    <row r="30" spans="1:15">
      <c r="J30" s="808">
        <f>SUM(J13:J26)-J20</f>
        <v>0</v>
      </c>
    </row>
    <row r="40" ht="19.95" customHeight="1"/>
  </sheetData>
  <mergeCells count="1">
    <mergeCell ref="K1:M1"/>
  </mergeCells>
  <pageMargins left="0.7" right="0.7" top="0.75" bottom="0.75" header="0.3" footer="0.3"/>
  <pageSetup paperSize="9" scale="45" orientation="portrait" r:id="rId1"/>
  <colBreaks count="1" manualBreakCount="1">
    <brk id="15" max="52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D38"/>
  <sheetViews>
    <sheetView view="pageBreakPreview" zoomScale="75" zoomScaleNormal="75" zoomScaleSheetLayoutView="75" workbookViewId="0">
      <selection activeCell="L7" sqref="L7"/>
    </sheetView>
  </sheetViews>
  <sheetFormatPr defaultRowHeight="15.6"/>
  <cols>
    <col min="1" max="1" width="18.59765625" customWidth="1"/>
    <col min="3" max="3" width="24.09765625" customWidth="1"/>
    <col min="4" max="6" width="9" style="485" customWidth="1"/>
    <col min="7" max="7" width="11.3984375" style="192" customWidth="1"/>
    <col min="8" max="8" width="10.69921875" style="259" bestFit="1" customWidth="1"/>
    <col min="9" max="9" width="11.59765625" bestFit="1" customWidth="1"/>
    <col min="12" max="12" width="10.69921875" bestFit="1" customWidth="1"/>
    <col min="13" max="13" width="12" customWidth="1"/>
    <col min="14" max="14" width="10.59765625" bestFit="1" customWidth="1"/>
    <col min="15" max="16" width="11.09765625" bestFit="1" customWidth="1"/>
    <col min="17" max="17" width="14.8984375" bestFit="1" customWidth="1"/>
    <col min="18" max="18" width="9.59765625" customWidth="1"/>
    <col min="21" max="21" width="18.8984375" customWidth="1"/>
    <col min="22" max="22" width="13.69921875" customWidth="1"/>
    <col min="23" max="23" width="8.19921875" bestFit="1" customWidth="1"/>
    <col min="24" max="25" width="9.3984375" bestFit="1" customWidth="1"/>
    <col min="26" max="26" width="9.09765625" bestFit="1" customWidth="1"/>
    <col min="27" max="27" width="9.3984375" bestFit="1" customWidth="1"/>
    <col min="28" max="28" width="17.8984375" bestFit="1" customWidth="1"/>
    <col min="29" max="30" width="9.3984375" bestFit="1" customWidth="1"/>
    <col min="31" max="35" width="9.09765625" bestFit="1" customWidth="1"/>
    <col min="37" max="37" width="15.19921875" customWidth="1"/>
  </cols>
  <sheetData>
    <row r="1" spans="1:30">
      <c r="A1" s="94" t="s">
        <v>0</v>
      </c>
      <c r="B1" s="128"/>
      <c r="C1" s="54"/>
      <c r="D1" s="486"/>
      <c r="E1" s="486"/>
      <c r="F1" s="486"/>
      <c r="G1" s="80"/>
      <c r="H1" s="478"/>
      <c r="I1" s="50"/>
      <c r="J1" s="47"/>
      <c r="K1" s="937" t="str">
        <f>SUMMARY!N1</f>
        <v>PROPOSED BUILDING WORKS</v>
      </c>
      <c r="L1" s="937"/>
      <c r="M1" s="937"/>
      <c r="N1" s="2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</row>
    <row r="2" spans="1:30">
      <c r="A2" s="94">
        <f>SUMMARY!A2</f>
        <v>0</v>
      </c>
      <c r="B2" s="128"/>
      <c r="C2" s="54"/>
      <c r="D2" s="486"/>
      <c r="E2" s="486"/>
      <c r="F2" s="486"/>
      <c r="G2" s="80"/>
      <c r="H2" s="478"/>
      <c r="I2" s="50"/>
      <c r="J2" s="47"/>
      <c r="K2" s="47"/>
      <c r="L2" s="47"/>
      <c r="M2" s="53" t="str">
        <f>SUMMARY!N2</f>
        <v>261-263 Balwyn Road, Balwyn North</v>
      </c>
      <c r="N2" s="2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</row>
    <row r="3" spans="1:30">
      <c r="A3" s="49"/>
      <c r="B3" s="128"/>
      <c r="C3" s="54"/>
      <c r="D3" s="486"/>
      <c r="E3" s="486"/>
      <c r="F3" s="486"/>
      <c r="G3" s="80"/>
      <c r="H3" s="478"/>
      <c r="I3" s="50"/>
      <c r="J3" s="47"/>
      <c r="K3" s="47"/>
      <c r="L3" s="47"/>
      <c r="M3" s="51" t="str">
        <f>SUMMARY!N3</f>
        <v>ESTIMATE - V1</v>
      </c>
      <c r="N3" s="22"/>
      <c r="O3" s="52"/>
      <c r="P3" s="52"/>
      <c r="Q3" s="52"/>
      <c r="R3" s="52"/>
      <c r="S3" s="52"/>
      <c r="T3" s="52"/>
      <c r="X3" s="37"/>
      <c r="Y3" s="37"/>
      <c r="Z3" s="37"/>
      <c r="AA3" s="52"/>
    </row>
    <row r="4" spans="1:30">
      <c r="A4" s="102" t="s">
        <v>98</v>
      </c>
      <c r="B4" s="129" t="s">
        <v>99</v>
      </c>
      <c r="C4" s="55"/>
      <c r="D4" s="482" t="s">
        <v>100</v>
      </c>
      <c r="E4" s="482" t="s">
        <v>101</v>
      </c>
      <c r="F4" s="482" t="s">
        <v>102</v>
      </c>
      <c r="G4" s="58" t="s">
        <v>103</v>
      </c>
      <c r="H4" s="518" t="s">
        <v>104</v>
      </c>
      <c r="I4" s="59" t="s">
        <v>105</v>
      </c>
      <c r="J4" s="60" t="s">
        <v>106</v>
      </c>
      <c r="K4" s="60" t="s">
        <v>107</v>
      </c>
      <c r="L4" s="154" t="s">
        <v>108</v>
      </c>
      <c r="M4" s="154" t="s">
        <v>109</v>
      </c>
      <c r="N4" s="144" t="s">
        <v>108</v>
      </c>
      <c r="O4" s="144" t="s">
        <v>109</v>
      </c>
      <c r="P4" s="32"/>
      <c r="Q4" s="199"/>
      <c r="R4" s="189"/>
      <c r="S4" s="198"/>
      <c r="T4" s="627"/>
      <c r="U4" s="199"/>
      <c r="V4" s="199"/>
      <c r="W4" s="199"/>
      <c r="X4" s="199"/>
      <c r="Y4" s="199"/>
      <c r="Z4" s="199"/>
      <c r="AA4" s="199"/>
      <c r="AB4" s="199"/>
      <c r="AC4" s="183"/>
      <c r="AD4" s="206"/>
    </row>
    <row r="5" spans="1:30">
      <c r="A5" s="88">
        <v>12</v>
      </c>
      <c r="B5" s="61" t="s">
        <v>342</v>
      </c>
      <c r="C5" s="62"/>
      <c r="D5" s="483"/>
      <c r="E5" s="483"/>
      <c r="F5" s="483"/>
      <c r="G5" s="33"/>
      <c r="H5" s="520"/>
      <c r="I5" s="35"/>
      <c r="J5" s="36"/>
      <c r="K5" s="36"/>
      <c r="L5" s="278"/>
      <c r="M5" s="463"/>
      <c r="N5" s="279"/>
      <c r="O5" s="280"/>
    </row>
    <row r="6" spans="1:30">
      <c r="A6" s="88"/>
      <c r="B6" s="131"/>
      <c r="C6" s="38"/>
      <c r="D6" s="483"/>
      <c r="E6" s="483"/>
      <c r="F6" s="483"/>
      <c r="G6" s="33"/>
      <c r="H6" s="520"/>
      <c r="I6" s="35"/>
      <c r="J6" s="36"/>
      <c r="K6" s="36"/>
      <c r="L6" s="245"/>
      <c r="M6" s="246" t="s">
        <v>306</v>
      </c>
      <c r="N6" s="145"/>
      <c r="O6" s="267" t="s">
        <v>306</v>
      </c>
    </row>
    <row r="7" spans="1:30">
      <c r="A7" s="88"/>
      <c r="B7" s="61" t="s">
        <v>304</v>
      </c>
      <c r="C7" s="38"/>
      <c r="D7" s="483"/>
      <c r="E7" s="483"/>
      <c r="F7" s="483"/>
      <c r="G7" s="33" t="s">
        <v>11</v>
      </c>
      <c r="H7" s="520">
        <f>H12</f>
        <v>14.3</v>
      </c>
      <c r="I7" s="35"/>
      <c r="J7" s="36"/>
      <c r="K7" s="36"/>
      <c r="L7" s="272">
        <v>716.29899999999998</v>
      </c>
      <c r="M7" s="432">
        <f>L7*H7</f>
        <v>10243.075699999999</v>
      </c>
      <c r="N7" s="149">
        <f>L7*1.5</f>
        <v>1074.4485</v>
      </c>
      <c r="O7" s="273">
        <f>N7*H7</f>
        <v>15364.61355</v>
      </c>
    </row>
    <row r="8" spans="1:30">
      <c r="A8" s="88"/>
      <c r="B8" s="131"/>
      <c r="C8" s="233" t="s">
        <v>343</v>
      </c>
      <c r="D8" s="494">
        <v>14.3</v>
      </c>
      <c r="E8" s="494"/>
      <c r="F8" s="501"/>
      <c r="G8" s="33">
        <v>1</v>
      </c>
      <c r="H8" s="520">
        <f>D8*G8</f>
        <v>14.3</v>
      </c>
      <c r="I8" s="35"/>
      <c r="J8" s="36"/>
      <c r="K8" s="36"/>
      <c r="L8" s="179"/>
      <c r="M8" s="179"/>
      <c r="N8" s="181"/>
      <c r="O8" s="268"/>
    </row>
    <row r="9" spans="1:30">
      <c r="A9" s="89"/>
      <c r="B9" s="133"/>
      <c r="C9" s="43" t="s">
        <v>344</v>
      </c>
      <c r="D9" s="483"/>
      <c r="E9" s="483"/>
      <c r="F9" s="486"/>
      <c r="G9" s="33"/>
      <c r="H9" s="520">
        <f>D9*G9</f>
        <v>0</v>
      </c>
      <c r="I9" s="35"/>
      <c r="J9" s="36"/>
      <c r="K9" s="36"/>
      <c r="L9" s="179"/>
      <c r="M9" s="179"/>
      <c r="N9" s="181"/>
      <c r="O9" s="268"/>
    </row>
    <row r="10" spans="1:30">
      <c r="A10" s="89"/>
      <c r="B10" s="133"/>
      <c r="C10" s="43" t="s">
        <v>345</v>
      </c>
      <c r="D10" s="483"/>
      <c r="E10" s="483"/>
      <c r="F10" s="486"/>
      <c r="G10" s="33"/>
      <c r="H10" s="520">
        <f>D10</f>
        <v>0</v>
      </c>
      <c r="I10" s="35"/>
      <c r="J10" s="36"/>
      <c r="K10" s="36"/>
      <c r="L10" s="272"/>
      <c r="M10" s="432"/>
      <c r="N10" s="149"/>
      <c r="O10" s="273"/>
    </row>
    <row r="11" spans="1:30">
      <c r="A11" s="89"/>
      <c r="B11" s="133"/>
      <c r="C11" s="43" t="s">
        <v>346</v>
      </c>
      <c r="D11" s="483"/>
      <c r="E11" s="483"/>
      <c r="F11" s="483"/>
      <c r="G11" s="33"/>
      <c r="H11" s="520">
        <f>D11</f>
        <v>0</v>
      </c>
      <c r="I11" s="35"/>
      <c r="J11" s="36"/>
      <c r="K11" s="36"/>
      <c r="L11" s="272"/>
      <c r="M11" s="432"/>
      <c r="N11" s="149"/>
      <c r="O11" s="273"/>
    </row>
    <row r="12" spans="1:30" ht="16.2" thickBot="1">
      <c r="A12" s="89"/>
      <c r="B12" s="133"/>
      <c r="C12" s="43"/>
      <c r="D12" s="483"/>
      <c r="E12" s="483"/>
      <c r="F12" s="483"/>
      <c r="G12" s="33"/>
      <c r="H12" s="556">
        <f>SUM(H8:H11)</f>
        <v>14.3</v>
      </c>
      <c r="I12" s="35"/>
      <c r="J12" s="36"/>
      <c r="K12" s="36"/>
      <c r="L12" s="272"/>
      <c r="M12" s="432"/>
      <c r="N12" s="149"/>
      <c r="O12" s="273"/>
    </row>
    <row r="13" spans="1:30" ht="16.2" thickTop="1">
      <c r="A13" s="89"/>
      <c r="B13" s="133"/>
      <c r="C13" s="43"/>
      <c r="D13" s="483"/>
      <c r="E13" s="483"/>
      <c r="F13" s="483"/>
      <c r="G13" s="33"/>
      <c r="H13" s="520"/>
      <c r="I13" s="35"/>
      <c r="J13" s="36"/>
      <c r="K13" s="36"/>
      <c r="L13" s="270"/>
      <c r="M13" s="266"/>
      <c r="N13" s="265"/>
      <c r="O13" s="269"/>
    </row>
    <row r="14" spans="1:30">
      <c r="A14" s="90"/>
      <c r="B14" s="132"/>
      <c r="C14" s="67"/>
      <c r="D14" s="499"/>
      <c r="E14" s="499"/>
      <c r="F14" s="499"/>
      <c r="G14" s="69"/>
      <c r="H14" s="528"/>
      <c r="I14" s="75"/>
      <c r="J14" s="76"/>
      <c r="K14" s="77"/>
      <c r="L14" s="154" t="s">
        <v>140</v>
      </c>
      <c r="M14" s="154">
        <f>SUM(M5:M13)</f>
        <v>10243.075699999999</v>
      </c>
      <c r="N14" s="144" t="s">
        <v>140</v>
      </c>
      <c r="O14" s="144">
        <f>SUM(O5:O13)</f>
        <v>15364.61355</v>
      </c>
    </row>
    <row r="28" spans="10:10">
      <c r="J28" s="808">
        <f>SUM(J11:J24)-J18</f>
        <v>0</v>
      </c>
    </row>
    <row r="38" ht="19.95" customHeight="1"/>
  </sheetData>
  <mergeCells count="1">
    <mergeCell ref="K1:M1"/>
  </mergeCells>
  <pageMargins left="0.7" right="0.7" top="0.75" bottom="0.75" header="0.3" footer="0.3"/>
  <pageSetup paperSize="9" scale="45" orientation="portrait" r:id="rId1"/>
  <colBreaks count="1" manualBreakCount="1">
    <brk id="15" max="52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I39"/>
  <sheetViews>
    <sheetView view="pageBreakPreview" zoomScale="75" zoomScaleNormal="75" zoomScaleSheetLayoutView="75" workbookViewId="0">
      <selection activeCell="F34" sqref="F34"/>
    </sheetView>
  </sheetViews>
  <sheetFormatPr defaultRowHeight="15.6"/>
  <cols>
    <col min="1" max="1" width="18.59765625" customWidth="1"/>
    <col min="3" max="3" width="24.09765625" customWidth="1"/>
    <col min="4" max="6" width="9" style="485" customWidth="1"/>
    <col min="7" max="7" width="11.3984375" style="192" customWidth="1"/>
    <col min="8" max="8" width="10.69921875" style="259" bestFit="1" customWidth="1"/>
    <col min="9" max="9" width="11.59765625" bestFit="1" customWidth="1"/>
    <col min="12" max="12" width="10.69921875" bestFit="1" customWidth="1"/>
    <col min="13" max="13" width="12" customWidth="1"/>
    <col min="14" max="14" width="10.59765625" bestFit="1" customWidth="1"/>
    <col min="15" max="16" width="11.09765625" bestFit="1" customWidth="1"/>
    <col min="17" max="17" width="14.8984375" bestFit="1" customWidth="1"/>
    <col min="18" max="18" width="9.59765625" customWidth="1"/>
    <col min="21" max="21" width="18.8984375" customWidth="1"/>
    <col min="22" max="22" width="13.69921875" customWidth="1"/>
    <col min="23" max="23" width="8.19921875" bestFit="1" customWidth="1"/>
    <col min="24" max="25" width="9.3984375" bestFit="1" customWidth="1"/>
    <col min="26" max="26" width="9.09765625" bestFit="1" customWidth="1"/>
    <col min="27" max="27" width="9.3984375" bestFit="1" customWidth="1"/>
    <col min="28" max="28" width="17.8984375" bestFit="1" customWidth="1"/>
    <col min="29" max="30" width="9.3984375" bestFit="1" customWidth="1"/>
    <col min="31" max="35" width="9.09765625" bestFit="1" customWidth="1"/>
    <col min="37" max="37" width="15.19921875" customWidth="1"/>
  </cols>
  <sheetData>
    <row r="1" spans="1:35">
      <c r="A1" s="94" t="s">
        <v>0</v>
      </c>
      <c r="B1" s="128"/>
      <c r="C1" s="54"/>
      <c r="D1" s="486"/>
      <c r="E1" s="486"/>
      <c r="F1" s="486"/>
      <c r="G1" s="80"/>
      <c r="H1" s="478"/>
      <c r="I1" s="50"/>
      <c r="J1" s="47"/>
      <c r="K1" s="937" t="str">
        <f>SUMMARY!N1</f>
        <v>PROPOSED BUILDING WORKS</v>
      </c>
      <c r="L1" s="937"/>
      <c r="M1" s="937"/>
      <c r="N1" s="2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</row>
    <row r="2" spans="1:35">
      <c r="A2" s="94">
        <f>SUMMARY!A2</f>
        <v>0</v>
      </c>
      <c r="B2" s="128"/>
      <c r="C2" s="54"/>
      <c r="D2" s="486"/>
      <c r="E2" s="486"/>
      <c r="F2" s="486"/>
      <c r="G2" s="80"/>
      <c r="H2" s="478"/>
      <c r="I2" s="50"/>
      <c r="J2" s="47"/>
      <c r="K2" s="47"/>
      <c r="L2" s="47"/>
      <c r="M2" s="53" t="str">
        <f>SUMMARY!N2</f>
        <v>261-263 Balwyn Road, Balwyn North</v>
      </c>
      <c r="N2" s="2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</row>
    <row r="3" spans="1:35">
      <c r="A3" s="49"/>
      <c r="B3" s="128"/>
      <c r="C3" s="54"/>
      <c r="D3" s="486"/>
      <c r="E3" s="486"/>
      <c r="F3" s="486"/>
      <c r="G3" s="80"/>
      <c r="H3" s="478"/>
      <c r="I3" s="50"/>
      <c r="J3" s="47"/>
      <c r="K3" s="47"/>
      <c r="L3" s="47"/>
      <c r="M3" s="51" t="str">
        <f>SUMMARY!N3</f>
        <v>ESTIMATE - V1</v>
      </c>
      <c r="N3" s="22"/>
      <c r="O3" s="52"/>
      <c r="P3" s="52"/>
      <c r="Q3" s="52"/>
      <c r="R3" s="52"/>
      <c r="S3" s="52"/>
      <c r="T3" s="52"/>
      <c r="X3" s="37"/>
      <c r="Y3" s="37"/>
      <c r="Z3" s="37"/>
      <c r="AA3" s="52"/>
    </row>
    <row r="4" spans="1:35">
      <c r="A4" s="102" t="s">
        <v>98</v>
      </c>
      <c r="B4" s="129" t="s">
        <v>99</v>
      </c>
      <c r="C4" s="55"/>
      <c r="D4" s="482" t="s">
        <v>100</v>
      </c>
      <c r="E4" s="482" t="s">
        <v>101</v>
      </c>
      <c r="F4" s="482" t="s">
        <v>102</v>
      </c>
      <c r="G4" s="58" t="s">
        <v>103</v>
      </c>
      <c r="H4" s="518" t="s">
        <v>104</v>
      </c>
      <c r="I4" s="59" t="s">
        <v>105</v>
      </c>
      <c r="J4" s="60" t="s">
        <v>106</v>
      </c>
      <c r="K4" s="60" t="s">
        <v>107</v>
      </c>
      <c r="L4" s="154" t="s">
        <v>108</v>
      </c>
      <c r="M4" s="154" t="s">
        <v>109</v>
      </c>
      <c r="N4" s="144" t="s">
        <v>108</v>
      </c>
      <c r="O4" s="144" t="s">
        <v>109</v>
      </c>
      <c r="P4" s="32"/>
      <c r="Q4" s="32"/>
      <c r="R4" s="32"/>
      <c r="S4" s="32"/>
      <c r="T4" s="32"/>
      <c r="U4" s="199"/>
      <c r="V4" s="199"/>
      <c r="W4" s="189"/>
      <c r="X4" s="198"/>
      <c r="Y4" s="627"/>
      <c r="Z4" s="199"/>
      <c r="AA4" s="199"/>
      <c r="AB4" s="199"/>
      <c r="AC4" s="199"/>
      <c r="AD4" s="199"/>
      <c r="AE4" s="199"/>
      <c r="AF4" s="199"/>
      <c r="AG4" s="199"/>
      <c r="AH4" s="183"/>
      <c r="AI4" s="206"/>
    </row>
    <row r="5" spans="1:35">
      <c r="A5" s="88">
        <v>13</v>
      </c>
      <c r="B5" s="61" t="s">
        <v>347</v>
      </c>
      <c r="C5" s="62"/>
      <c r="D5" s="483"/>
      <c r="E5" s="483"/>
      <c r="F5" s="483"/>
      <c r="G5" s="33"/>
      <c r="H5" s="520"/>
      <c r="I5" s="35"/>
      <c r="J5" s="36"/>
      <c r="K5" s="36"/>
      <c r="L5" s="155"/>
      <c r="M5" s="156"/>
      <c r="N5" s="145"/>
      <c r="O5" s="146"/>
    </row>
    <row r="6" spans="1:35">
      <c r="A6" s="88"/>
      <c r="B6" s="65" t="s">
        <v>111</v>
      </c>
      <c r="C6" s="62"/>
      <c r="D6" s="483"/>
      <c r="E6" s="483"/>
      <c r="F6" s="483"/>
      <c r="G6" s="33"/>
      <c r="H6" s="520"/>
      <c r="I6" s="35"/>
      <c r="J6" s="36"/>
      <c r="K6" s="36"/>
      <c r="L6" s="155"/>
      <c r="M6" s="156"/>
      <c r="N6" s="145"/>
      <c r="O6" s="146"/>
    </row>
    <row r="7" spans="1:35">
      <c r="A7" s="88"/>
      <c r="B7" s="61" t="s">
        <v>348</v>
      </c>
      <c r="C7" s="62"/>
      <c r="D7" s="483"/>
      <c r="E7" s="483"/>
      <c r="F7" s="483"/>
      <c r="G7" s="33"/>
      <c r="H7" s="520"/>
      <c r="I7" s="35"/>
      <c r="J7" s="36"/>
      <c r="K7" s="36"/>
      <c r="L7" s="155"/>
      <c r="M7" s="156"/>
      <c r="N7" s="145"/>
      <c r="O7" s="146"/>
    </row>
    <row r="8" spans="1:35">
      <c r="A8" s="88"/>
      <c r="B8" s="65" t="s">
        <v>111</v>
      </c>
      <c r="C8" s="62"/>
      <c r="D8" s="483"/>
      <c r="E8" s="483"/>
      <c r="F8" s="483"/>
      <c r="G8" s="33"/>
      <c r="H8" s="520"/>
      <c r="I8" s="35"/>
      <c r="J8" s="36"/>
      <c r="K8" s="36"/>
      <c r="L8" s="155"/>
      <c r="M8" s="156"/>
      <c r="N8" s="145"/>
      <c r="O8" s="146"/>
    </row>
    <row r="9" spans="1:35">
      <c r="A9" s="88"/>
      <c r="B9" s="131"/>
      <c r="C9" s="32" t="s">
        <v>349</v>
      </c>
      <c r="D9" s="483"/>
      <c r="E9" s="483"/>
      <c r="F9" s="483"/>
      <c r="G9" s="33" t="s">
        <v>99</v>
      </c>
      <c r="H9" s="554">
        <v>1</v>
      </c>
      <c r="I9" s="35"/>
      <c r="J9" s="36"/>
      <c r="K9" s="36"/>
      <c r="L9" s="155"/>
      <c r="M9" s="156">
        <v>2500</v>
      </c>
      <c r="N9" s="145">
        <f>L9*1.5</f>
        <v>0</v>
      </c>
      <c r="O9" s="146">
        <v>2500</v>
      </c>
    </row>
    <row r="10" spans="1:35">
      <c r="A10" s="88"/>
      <c r="B10" s="131"/>
      <c r="C10" s="32" t="s">
        <v>350</v>
      </c>
      <c r="D10" s="483"/>
      <c r="E10" s="483"/>
      <c r="F10" s="483"/>
      <c r="G10" s="33" t="s">
        <v>99</v>
      </c>
      <c r="H10" s="554">
        <v>2</v>
      </c>
      <c r="I10" s="35"/>
      <c r="J10" s="36"/>
      <c r="K10" s="36"/>
      <c r="L10" s="155"/>
      <c r="M10" s="156">
        <f>H10*L10</f>
        <v>0</v>
      </c>
      <c r="N10" s="145">
        <f>L10*1.5</f>
        <v>0</v>
      </c>
      <c r="O10" s="146">
        <f>N10*H10</f>
        <v>0</v>
      </c>
    </row>
    <row r="11" spans="1:35">
      <c r="A11" s="88"/>
      <c r="B11" s="131"/>
      <c r="C11" s="32" t="s">
        <v>351</v>
      </c>
      <c r="D11" s="483"/>
      <c r="E11" s="483"/>
      <c r="F11" s="483"/>
      <c r="G11" s="33" t="s">
        <v>99</v>
      </c>
      <c r="H11" s="554"/>
      <c r="I11" s="35"/>
      <c r="J11" s="36"/>
      <c r="K11" s="36" t="s">
        <v>352</v>
      </c>
      <c r="L11" s="155"/>
      <c r="M11" s="156" t="s">
        <v>264</v>
      </c>
      <c r="N11" s="145"/>
      <c r="O11" s="146" t="s">
        <v>264</v>
      </c>
    </row>
    <row r="12" spans="1:35">
      <c r="A12" s="88"/>
      <c r="B12" s="131"/>
      <c r="C12" s="32"/>
      <c r="D12" s="483"/>
      <c r="E12" s="483"/>
      <c r="F12" s="483"/>
      <c r="G12" s="33"/>
      <c r="H12" s="554"/>
      <c r="I12" s="35"/>
      <c r="J12" s="36"/>
      <c r="K12" s="36"/>
      <c r="L12" s="155"/>
      <c r="M12" s="156"/>
      <c r="N12" s="145"/>
      <c r="O12" s="146"/>
    </row>
    <row r="13" spans="1:35">
      <c r="A13" s="88"/>
      <c r="B13" s="61" t="s">
        <v>353</v>
      </c>
      <c r="C13" s="62"/>
      <c r="D13" s="483"/>
      <c r="E13" s="483"/>
      <c r="F13" s="483"/>
      <c r="G13" s="33"/>
      <c r="H13" s="554"/>
      <c r="I13" s="35"/>
      <c r="J13" s="36"/>
      <c r="K13" s="36"/>
      <c r="L13" s="155"/>
      <c r="M13" s="156"/>
      <c r="N13" s="145"/>
      <c r="O13" s="146"/>
    </row>
    <row r="14" spans="1:35">
      <c r="A14" s="88"/>
      <c r="B14" s="65" t="s">
        <v>111</v>
      </c>
      <c r="C14" s="62"/>
      <c r="D14" s="483"/>
      <c r="E14" s="483"/>
      <c r="F14" s="483"/>
      <c r="G14" s="33"/>
      <c r="H14" s="520"/>
      <c r="I14" s="35"/>
      <c r="J14" s="36"/>
      <c r="K14" s="36"/>
      <c r="L14" s="155"/>
      <c r="M14" s="156"/>
      <c r="N14" s="145"/>
      <c r="O14" s="146"/>
    </row>
    <row r="15" spans="1:35">
      <c r="A15" s="88"/>
      <c r="B15" s="131"/>
      <c r="C15" s="32" t="s">
        <v>354</v>
      </c>
      <c r="D15" s="483"/>
      <c r="E15" s="483"/>
      <c r="F15" s="483"/>
      <c r="G15" s="33" t="s">
        <v>136</v>
      </c>
      <c r="H15" s="554"/>
      <c r="I15" s="35"/>
      <c r="J15" s="36"/>
      <c r="K15" s="36"/>
      <c r="L15" s="155">
        <v>75</v>
      </c>
      <c r="M15" s="156">
        <f>G17*L15</f>
        <v>2400</v>
      </c>
      <c r="N15" s="145">
        <f>L15*1.5</f>
        <v>112.5</v>
      </c>
      <c r="O15" s="146">
        <f>G17*N15</f>
        <v>3600</v>
      </c>
    </row>
    <row r="16" spans="1:35">
      <c r="A16" s="88"/>
      <c r="B16" s="131"/>
      <c r="C16" s="38"/>
      <c r="D16" s="483" t="s">
        <v>135</v>
      </c>
      <c r="E16" s="483" t="s">
        <v>136</v>
      </c>
      <c r="F16" s="483" t="s">
        <v>137</v>
      </c>
      <c r="G16" s="33"/>
      <c r="H16" s="554"/>
      <c r="I16" s="35"/>
      <c r="J16" s="36"/>
      <c r="K16" s="36"/>
      <c r="L16" s="155"/>
      <c r="M16" s="156"/>
      <c r="N16" s="145"/>
      <c r="O16" s="146"/>
    </row>
    <row r="17" spans="1:15">
      <c r="A17" s="89"/>
      <c r="B17" s="133"/>
      <c r="C17" s="43" t="s">
        <v>237</v>
      </c>
      <c r="D17" s="486">
        <v>1</v>
      </c>
      <c r="E17" s="486">
        <v>8</v>
      </c>
      <c r="F17" s="486">
        <v>4</v>
      </c>
      <c r="G17" s="771">
        <f>D17*E17*F17</f>
        <v>32</v>
      </c>
      <c r="H17" s="533"/>
      <c r="I17" s="35"/>
      <c r="J17" s="36"/>
      <c r="K17" s="36"/>
      <c r="L17" s="159"/>
      <c r="M17" s="160"/>
      <c r="N17" s="149"/>
      <c r="O17" s="150"/>
    </row>
    <row r="18" spans="1:15">
      <c r="A18" s="89"/>
      <c r="B18" s="133"/>
      <c r="C18" s="43"/>
      <c r="D18" s="486"/>
      <c r="E18" s="486"/>
      <c r="F18" s="486"/>
      <c r="G18" s="33"/>
      <c r="H18" s="533">
        <v>0</v>
      </c>
      <c r="I18" s="35"/>
      <c r="J18" s="36"/>
      <c r="K18" s="36"/>
      <c r="L18" s="159"/>
      <c r="M18" s="160"/>
      <c r="N18" s="149"/>
      <c r="O18" s="150"/>
    </row>
    <row r="19" spans="1:15" ht="16.2" thickBot="1">
      <c r="A19" s="89"/>
      <c r="B19" s="133"/>
      <c r="C19" s="43"/>
      <c r="D19" s="509">
        <v>1</v>
      </c>
      <c r="E19" s="483"/>
      <c r="F19" s="483"/>
      <c r="G19" s="58">
        <v>24</v>
      </c>
      <c r="H19" s="556">
        <v>120</v>
      </c>
      <c r="I19" s="35"/>
      <c r="J19" s="36"/>
      <c r="K19" s="36"/>
      <c r="L19" s="159"/>
      <c r="M19" s="160"/>
      <c r="N19" s="149"/>
      <c r="O19" s="150"/>
    </row>
    <row r="20" spans="1:15" ht="16.2" thickTop="1">
      <c r="A20" s="88"/>
      <c r="B20" s="65" t="s">
        <v>111</v>
      </c>
      <c r="C20" s="62"/>
      <c r="D20" s="483"/>
      <c r="E20" s="483"/>
      <c r="F20" s="483"/>
      <c r="G20" s="33"/>
      <c r="H20" s="520"/>
      <c r="I20" s="35"/>
      <c r="J20" s="36"/>
      <c r="K20" s="36"/>
      <c r="L20" s="155"/>
      <c r="M20" s="156"/>
      <c r="N20" s="145"/>
      <c r="O20" s="146"/>
    </row>
    <row r="21" spans="1:15">
      <c r="A21" s="88"/>
      <c r="B21" s="131"/>
      <c r="C21" s="32" t="s">
        <v>355</v>
      </c>
      <c r="D21" s="483"/>
      <c r="E21" s="483"/>
      <c r="F21" s="483"/>
      <c r="G21" s="33"/>
      <c r="H21" s="554"/>
      <c r="I21" s="35"/>
      <c r="J21" s="36"/>
      <c r="K21" s="36"/>
      <c r="L21" s="155">
        <v>60</v>
      </c>
      <c r="M21" s="156">
        <f>G23*L21</f>
        <v>1920</v>
      </c>
      <c r="N21" s="145">
        <f>L21*1.5</f>
        <v>90</v>
      </c>
      <c r="O21" s="146">
        <f>N21*G23</f>
        <v>2880</v>
      </c>
    </row>
    <row r="22" spans="1:15">
      <c r="A22" s="88"/>
      <c r="B22" s="131"/>
      <c r="C22" s="38"/>
      <c r="D22" s="483" t="s">
        <v>135</v>
      </c>
      <c r="E22" s="483" t="s">
        <v>136</v>
      </c>
      <c r="F22" s="483" t="s">
        <v>137</v>
      </c>
      <c r="G22" s="33" t="s">
        <v>356</v>
      </c>
      <c r="H22" s="554"/>
      <c r="I22" s="35"/>
      <c r="J22" s="36"/>
      <c r="K22" s="36"/>
      <c r="L22" s="155"/>
      <c r="M22" s="156"/>
      <c r="N22" s="145"/>
      <c r="O22" s="146"/>
    </row>
    <row r="23" spans="1:15">
      <c r="A23" s="89"/>
      <c r="B23" s="133"/>
      <c r="C23" s="43"/>
      <c r="D23" s="486">
        <v>1</v>
      </c>
      <c r="E23" s="486">
        <v>8</v>
      </c>
      <c r="F23" s="486">
        <v>4</v>
      </c>
      <c r="G23" s="510">
        <f>F23*D23*E23</f>
        <v>32</v>
      </c>
      <c r="H23" s="533"/>
      <c r="I23" s="35"/>
      <c r="J23" s="36"/>
      <c r="K23" s="36"/>
      <c r="L23" s="159"/>
      <c r="M23" s="160"/>
      <c r="N23" s="149"/>
      <c r="O23" s="150"/>
    </row>
    <row r="24" spans="1:15">
      <c r="A24" s="89"/>
      <c r="B24" s="133"/>
      <c r="C24" s="43" t="s">
        <v>237</v>
      </c>
      <c r="D24" s="486"/>
      <c r="E24" s="486"/>
      <c r="F24" s="486"/>
      <c r="G24" s="33"/>
      <c r="H24" s="533">
        <v>0</v>
      </c>
      <c r="I24" s="35"/>
      <c r="J24" s="36"/>
      <c r="K24" s="36"/>
      <c r="L24" s="159"/>
      <c r="M24" s="160"/>
      <c r="N24" s="149"/>
      <c r="O24" s="150"/>
    </row>
    <row r="25" spans="1:15" ht="16.2" thickBot="1">
      <c r="A25" s="89"/>
      <c r="B25" s="133"/>
      <c r="C25" s="43"/>
      <c r="D25" s="483"/>
      <c r="E25" s="483"/>
      <c r="F25" s="483"/>
      <c r="G25" s="58"/>
      <c r="H25" s="556"/>
      <c r="I25" s="35"/>
      <c r="J25" s="36"/>
      <c r="K25" s="36"/>
      <c r="L25" s="159"/>
      <c r="M25" s="160"/>
      <c r="N25" s="149"/>
      <c r="O25" s="150"/>
    </row>
    <row r="26" spans="1:15" ht="16.2" thickTop="1">
      <c r="A26" s="89"/>
      <c r="B26" s="133"/>
      <c r="C26" s="43"/>
      <c r="D26" s="483"/>
      <c r="E26" s="483"/>
      <c r="F26" s="483"/>
      <c r="G26" s="33"/>
      <c r="H26" s="520"/>
      <c r="I26" s="35"/>
      <c r="J26" s="36"/>
      <c r="K26" s="36"/>
      <c r="L26" s="159"/>
      <c r="M26" s="160"/>
      <c r="N26" s="149"/>
      <c r="O26" s="150"/>
    </row>
    <row r="27" spans="1:15">
      <c r="A27" s="88"/>
      <c r="B27" s="65" t="s">
        <v>111</v>
      </c>
      <c r="C27" s="62"/>
      <c r="D27" s="483"/>
      <c r="E27" s="483"/>
      <c r="F27" s="483"/>
      <c r="G27" s="33"/>
      <c r="H27" s="520"/>
      <c r="I27" s="35"/>
      <c r="J27" s="36"/>
      <c r="K27" s="36"/>
      <c r="L27" s="155"/>
      <c r="M27" s="156"/>
      <c r="N27" s="145"/>
      <c r="O27" s="146"/>
    </row>
    <row r="28" spans="1:15">
      <c r="A28" s="88"/>
      <c r="B28" s="61" t="s">
        <v>357</v>
      </c>
      <c r="C28" s="62"/>
      <c r="D28" s="483"/>
      <c r="E28" s="483"/>
      <c r="F28" s="483"/>
      <c r="G28" s="33"/>
      <c r="H28" s="520"/>
      <c r="I28" s="35"/>
      <c r="J28" s="36">
        <f>SUM(J11:J24)-J18</f>
        <v>0</v>
      </c>
      <c r="K28" s="36"/>
      <c r="L28" s="155"/>
      <c r="M28" s="156"/>
      <c r="N28" s="145"/>
      <c r="O28" s="146"/>
    </row>
    <row r="29" spans="1:15">
      <c r="A29" s="88"/>
      <c r="B29" s="65"/>
      <c r="C29" s="62"/>
      <c r="D29" s="483"/>
      <c r="E29" s="483"/>
      <c r="F29" s="483"/>
      <c r="G29" s="33"/>
      <c r="H29" s="520"/>
      <c r="I29" s="35"/>
      <c r="J29" s="36"/>
      <c r="K29" s="36"/>
      <c r="L29" s="155"/>
      <c r="M29" s="156"/>
      <c r="N29" s="145"/>
      <c r="O29" s="146"/>
    </row>
    <row r="30" spans="1:15">
      <c r="A30" s="88"/>
      <c r="B30" s="131"/>
      <c r="C30" s="32" t="s">
        <v>358</v>
      </c>
      <c r="D30" s="483"/>
      <c r="E30" s="483"/>
      <c r="F30" s="483"/>
      <c r="G30" s="33" t="s">
        <v>136</v>
      </c>
      <c r="H30" s="554">
        <v>0</v>
      </c>
      <c r="I30" s="35"/>
      <c r="J30" s="36"/>
      <c r="K30" s="36"/>
      <c r="L30" s="155">
        <v>0</v>
      </c>
      <c r="M30" s="156" t="s">
        <v>359</v>
      </c>
      <c r="N30" s="145">
        <v>0</v>
      </c>
      <c r="O30" s="146" t="s">
        <v>359</v>
      </c>
    </row>
    <row r="31" spans="1:15">
      <c r="A31" s="88"/>
      <c r="B31" s="131"/>
      <c r="C31" s="38"/>
      <c r="D31" s="483" t="s">
        <v>360</v>
      </c>
      <c r="E31" s="483" t="s">
        <v>136</v>
      </c>
      <c r="F31" s="483" t="s">
        <v>137</v>
      </c>
      <c r="G31" s="33" t="s">
        <v>361</v>
      </c>
      <c r="H31" s="554"/>
      <c r="I31" s="35"/>
      <c r="J31" s="36"/>
      <c r="K31" s="36"/>
      <c r="L31" s="155"/>
      <c r="M31" s="156"/>
      <c r="N31" s="145"/>
      <c r="O31" s="146"/>
    </row>
    <row r="32" spans="1:15">
      <c r="A32" s="89"/>
      <c r="B32" s="133"/>
      <c r="C32" s="43"/>
      <c r="D32" s="486"/>
      <c r="E32" s="486"/>
      <c r="F32" s="486"/>
      <c r="G32" s="33"/>
      <c r="H32" s="533">
        <v>0</v>
      </c>
      <c r="I32" s="35"/>
      <c r="J32" s="36"/>
      <c r="K32" s="36"/>
      <c r="L32" s="159"/>
      <c r="M32" s="160"/>
      <c r="N32" s="149"/>
      <c r="O32" s="150"/>
    </row>
    <row r="33" spans="1:15">
      <c r="A33" s="89"/>
      <c r="B33" s="133"/>
      <c r="C33" s="43" t="s">
        <v>237</v>
      </c>
      <c r="D33" s="486">
        <v>1</v>
      </c>
      <c r="E33" s="486">
        <v>8</v>
      </c>
      <c r="F33" s="486">
        <v>4</v>
      </c>
      <c r="G33" s="516">
        <f>D33*E33*F33</f>
        <v>32</v>
      </c>
      <c r="H33" s="533">
        <v>0</v>
      </c>
      <c r="I33" s="35"/>
      <c r="J33" s="36"/>
      <c r="K33" s="36"/>
      <c r="L33" s="159">
        <v>150</v>
      </c>
      <c r="M33" s="160">
        <f>G33*L33</f>
        <v>4800</v>
      </c>
      <c r="N33" s="149">
        <f>L33*1.5</f>
        <v>225</v>
      </c>
      <c r="O33" s="150">
        <f>N33*G33</f>
        <v>7200</v>
      </c>
    </row>
    <row r="34" spans="1:15" ht="16.2" thickBot="1">
      <c r="A34" s="89"/>
      <c r="B34" s="133"/>
      <c r="C34" s="43"/>
      <c r="D34" s="483"/>
      <c r="E34" s="483"/>
      <c r="F34" s="483"/>
      <c r="G34" s="58"/>
      <c r="H34" s="556"/>
      <c r="I34" s="35"/>
      <c r="J34" s="36"/>
      <c r="K34" s="36"/>
      <c r="L34" s="159"/>
      <c r="M34" s="160"/>
      <c r="N34" s="149"/>
      <c r="O34" s="150"/>
    </row>
    <row r="35" spans="1:15" ht="16.2" thickTop="1">
      <c r="A35" s="88"/>
      <c r="B35" s="65" t="s">
        <v>111</v>
      </c>
      <c r="C35" s="62"/>
      <c r="D35" s="483"/>
      <c r="E35" s="483"/>
      <c r="F35" s="483"/>
      <c r="G35" s="33"/>
      <c r="H35" s="520"/>
      <c r="I35" s="35"/>
      <c r="J35" s="36"/>
      <c r="K35" s="36"/>
      <c r="L35" s="155"/>
      <c r="M35" s="156"/>
      <c r="N35" s="145"/>
      <c r="O35" s="146"/>
    </row>
    <row r="36" spans="1:15">
      <c r="A36" s="88"/>
      <c r="B36" s="131"/>
      <c r="C36" s="32" t="s">
        <v>207</v>
      </c>
      <c r="D36" s="483"/>
      <c r="E36" s="483"/>
      <c r="F36" s="483"/>
      <c r="G36" s="33" t="s">
        <v>99</v>
      </c>
      <c r="H36" s="554">
        <v>1</v>
      </c>
      <c r="I36" s="35"/>
      <c r="J36" s="36"/>
      <c r="K36" s="36"/>
      <c r="L36" s="155"/>
      <c r="M36" s="156">
        <f>H36*L36</f>
        <v>0</v>
      </c>
      <c r="N36" s="145"/>
      <c r="O36" s="146">
        <f>J36*N36</f>
        <v>0</v>
      </c>
    </row>
    <row r="37" spans="1:15">
      <c r="A37" s="88"/>
      <c r="B37" s="65" t="s">
        <v>111</v>
      </c>
      <c r="C37" s="62"/>
      <c r="D37" s="483"/>
      <c r="E37" s="483"/>
      <c r="F37" s="483"/>
      <c r="G37" s="33"/>
      <c r="H37" s="520"/>
      <c r="I37" s="35"/>
      <c r="J37" s="36"/>
      <c r="K37" s="36"/>
      <c r="L37" s="155"/>
      <c r="M37" s="156"/>
      <c r="N37" s="145"/>
      <c r="O37" s="146"/>
    </row>
    <row r="38" spans="1:15" ht="19.95" customHeight="1">
      <c r="A38" s="90"/>
      <c r="B38" s="132"/>
      <c r="C38" s="67"/>
      <c r="D38" s="499"/>
      <c r="E38" s="499"/>
      <c r="F38" s="499"/>
      <c r="G38" s="69"/>
      <c r="H38" s="528"/>
      <c r="I38" s="75"/>
      <c r="J38" s="76"/>
      <c r="K38" s="77"/>
      <c r="L38" s="154" t="s">
        <v>140</v>
      </c>
      <c r="M38" s="154">
        <f>SUM(M5:M37)</f>
        <v>11620</v>
      </c>
      <c r="N38" s="144" t="s">
        <v>140</v>
      </c>
      <c r="O38" s="144">
        <f>SUM(O5:O37)</f>
        <v>16180</v>
      </c>
    </row>
    <row r="39" spans="1:15">
      <c r="B39" s="133"/>
      <c r="C39" s="38"/>
      <c r="D39" s="486"/>
      <c r="E39" s="486"/>
      <c r="F39" s="486"/>
      <c r="G39" s="80"/>
      <c r="H39" s="478"/>
      <c r="I39" s="63"/>
      <c r="J39" s="64"/>
      <c r="K39" s="64"/>
      <c r="L39" s="64"/>
      <c r="M39" s="81"/>
      <c r="N39" s="41"/>
      <c r="O39" s="41"/>
    </row>
  </sheetData>
  <mergeCells count="1">
    <mergeCell ref="K1:M1"/>
  </mergeCells>
  <pageMargins left="0.7" right="0.7" top="0.75" bottom="0.75" header="0.3" footer="0.3"/>
  <pageSetup paperSize="9" scale="45" orientation="portrait" r:id="rId1"/>
  <colBreaks count="1" manualBreakCount="1">
    <brk id="15" max="52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I38"/>
  <sheetViews>
    <sheetView view="pageBreakPreview" zoomScale="75" zoomScaleNormal="75" zoomScaleSheetLayoutView="75" workbookViewId="0">
      <selection activeCell="F9" sqref="F9"/>
    </sheetView>
  </sheetViews>
  <sheetFormatPr defaultRowHeight="15.6"/>
  <cols>
    <col min="1" max="1" width="18.59765625" customWidth="1"/>
    <col min="3" max="3" width="24.09765625" customWidth="1"/>
    <col min="4" max="6" width="9" style="485" customWidth="1"/>
    <col min="7" max="7" width="11.3984375" style="192" customWidth="1"/>
    <col min="8" max="8" width="10.69921875" style="259" bestFit="1" customWidth="1"/>
    <col min="9" max="9" width="11.59765625" bestFit="1" customWidth="1"/>
    <col min="12" max="12" width="10.69921875" bestFit="1" customWidth="1"/>
    <col min="13" max="13" width="12" customWidth="1"/>
    <col min="14" max="14" width="10.59765625" bestFit="1" customWidth="1"/>
    <col min="15" max="16" width="11.09765625" bestFit="1" customWidth="1"/>
    <col min="17" max="17" width="14.8984375" bestFit="1" customWidth="1"/>
    <col min="18" max="18" width="9.59765625" customWidth="1"/>
    <col min="21" max="21" width="18.8984375" customWidth="1"/>
    <col min="22" max="22" width="13.69921875" customWidth="1"/>
    <col min="23" max="23" width="8.19921875" bestFit="1" customWidth="1"/>
    <col min="24" max="25" width="9.3984375" bestFit="1" customWidth="1"/>
    <col min="26" max="26" width="9.09765625" bestFit="1" customWidth="1"/>
    <col min="27" max="27" width="9.3984375" bestFit="1" customWidth="1"/>
    <col min="28" max="28" width="17.8984375" bestFit="1" customWidth="1"/>
    <col min="29" max="30" width="9.3984375" bestFit="1" customWidth="1"/>
    <col min="31" max="35" width="9.09765625" bestFit="1" customWidth="1"/>
    <col min="37" max="37" width="15.19921875" customWidth="1"/>
  </cols>
  <sheetData>
    <row r="1" spans="1:35">
      <c r="A1" s="94" t="s">
        <v>0</v>
      </c>
      <c r="B1" s="128"/>
      <c r="C1" s="54"/>
      <c r="D1" s="486"/>
      <c r="E1" s="486"/>
      <c r="F1" s="486"/>
      <c r="G1" s="80"/>
      <c r="H1" s="478"/>
      <c r="I1" s="50"/>
      <c r="J1" s="47"/>
      <c r="K1" s="937" t="str">
        <f>SUMMARY!N1</f>
        <v>PROPOSED BUILDING WORKS</v>
      </c>
      <c r="L1" s="937"/>
      <c r="M1" s="937"/>
      <c r="N1" s="2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</row>
    <row r="2" spans="1:35">
      <c r="A2" s="94">
        <f>SUMMARY!A2</f>
        <v>0</v>
      </c>
      <c r="B2" s="128"/>
      <c r="C2" s="54"/>
      <c r="D2" s="486"/>
      <c r="E2" s="486"/>
      <c r="F2" s="486"/>
      <c r="G2" s="80"/>
      <c r="H2" s="478"/>
      <c r="I2" s="50"/>
      <c r="J2" s="47"/>
      <c r="K2" s="47"/>
      <c r="L2" s="47"/>
      <c r="M2" s="53" t="str">
        <f>SUMMARY!N2</f>
        <v>261-263 Balwyn Road, Balwyn North</v>
      </c>
      <c r="N2" s="2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</row>
    <row r="3" spans="1:35">
      <c r="A3" s="49"/>
      <c r="B3" s="128"/>
      <c r="C3" s="54"/>
      <c r="D3" s="486"/>
      <c r="E3" s="486"/>
      <c r="F3" s="486"/>
      <c r="G3" s="80"/>
      <c r="H3" s="478"/>
      <c r="I3" s="50"/>
      <c r="J3" s="47"/>
      <c r="K3" s="47"/>
      <c r="L3" s="47"/>
      <c r="M3" s="51" t="str">
        <f>SUMMARY!N3</f>
        <v>ESTIMATE - V1</v>
      </c>
      <c r="N3" s="22"/>
      <c r="O3" s="52"/>
      <c r="P3" s="52"/>
      <c r="Q3" s="52"/>
      <c r="R3" s="52"/>
      <c r="S3" s="52"/>
      <c r="T3" s="52"/>
      <c r="X3" s="37"/>
      <c r="Y3" s="37"/>
      <c r="Z3" s="37"/>
      <c r="AA3" s="52"/>
    </row>
    <row r="4" spans="1:35">
      <c r="A4" s="102" t="s">
        <v>98</v>
      </c>
      <c r="B4" s="129" t="s">
        <v>99</v>
      </c>
      <c r="C4" s="55"/>
      <c r="D4" s="482" t="s">
        <v>100</v>
      </c>
      <c r="E4" s="482" t="s">
        <v>101</v>
      </c>
      <c r="F4" s="482" t="s">
        <v>102</v>
      </c>
      <c r="G4" s="58" t="s">
        <v>103</v>
      </c>
      <c r="H4" s="518" t="s">
        <v>104</v>
      </c>
      <c r="I4" s="59" t="s">
        <v>105</v>
      </c>
      <c r="J4" s="60" t="s">
        <v>106</v>
      </c>
      <c r="K4" s="60" t="s">
        <v>107</v>
      </c>
      <c r="L4" s="154" t="s">
        <v>108</v>
      </c>
      <c r="M4" s="154" t="s">
        <v>109</v>
      </c>
      <c r="N4" s="144" t="s">
        <v>108</v>
      </c>
      <c r="O4" s="144" t="s">
        <v>109</v>
      </c>
      <c r="P4" s="32"/>
      <c r="Q4" s="32"/>
      <c r="R4" s="32"/>
      <c r="S4" s="32"/>
      <c r="T4" s="32"/>
      <c r="U4" s="199"/>
      <c r="V4" s="199"/>
      <c r="W4" s="189"/>
      <c r="X4" s="198"/>
      <c r="Y4" s="627"/>
      <c r="Z4" s="199"/>
      <c r="AA4" s="199"/>
      <c r="AB4" s="199"/>
      <c r="AC4" s="199"/>
      <c r="AD4" s="199"/>
      <c r="AE4" s="199"/>
      <c r="AF4" s="199"/>
      <c r="AG4" s="199"/>
      <c r="AH4" s="183"/>
      <c r="AI4" s="206"/>
    </row>
    <row r="5" spans="1:35">
      <c r="A5" s="78">
        <v>14</v>
      </c>
      <c r="B5" s="61" t="s">
        <v>362</v>
      </c>
      <c r="C5" s="62"/>
      <c r="D5" s="483"/>
      <c r="E5" s="483"/>
      <c r="F5" s="483"/>
      <c r="G5" s="33"/>
      <c r="H5" s="520"/>
      <c r="I5" s="35"/>
      <c r="J5" s="36"/>
      <c r="K5" s="36"/>
      <c r="L5" s="155"/>
      <c r="M5" s="156"/>
      <c r="N5" s="145"/>
      <c r="O5" s="146"/>
    </row>
    <row r="6" spans="1:35">
      <c r="A6" s="78"/>
      <c r="B6" s="61"/>
      <c r="C6" s="62"/>
      <c r="D6" s="483"/>
      <c r="E6" s="483"/>
      <c r="F6" s="483"/>
      <c r="G6" s="33"/>
      <c r="H6" s="520"/>
      <c r="I6" s="35"/>
      <c r="J6" s="36"/>
      <c r="K6" s="36"/>
      <c r="L6" s="155"/>
      <c r="M6" s="156"/>
      <c r="N6" s="145"/>
      <c r="O6" s="146"/>
    </row>
    <row r="7" spans="1:35">
      <c r="A7" s="88"/>
      <c r="B7" s="131"/>
      <c r="C7" s="942" t="s">
        <v>363</v>
      </c>
      <c r="D7" s="942"/>
      <c r="E7" s="942"/>
      <c r="F7" s="955"/>
      <c r="G7" s="33" t="s">
        <v>136</v>
      </c>
      <c r="H7" s="554"/>
      <c r="I7" s="35"/>
      <c r="J7" s="36"/>
      <c r="K7" s="36"/>
      <c r="L7" s="155">
        <v>50</v>
      </c>
      <c r="M7" s="156">
        <f>G9*L7</f>
        <v>6360</v>
      </c>
      <c r="N7" s="145">
        <f>L7*1.5</f>
        <v>75</v>
      </c>
      <c r="O7" s="146">
        <f>G9*N7</f>
        <v>9540</v>
      </c>
    </row>
    <row r="8" spans="1:35">
      <c r="A8" s="88"/>
      <c r="B8" s="131"/>
      <c r="C8" s="38"/>
      <c r="D8" s="483" t="s">
        <v>135</v>
      </c>
      <c r="E8" s="483" t="s">
        <v>136</v>
      </c>
      <c r="F8" s="483" t="s">
        <v>137</v>
      </c>
      <c r="G8" s="33"/>
      <c r="H8" s="554"/>
      <c r="I8" s="35"/>
      <c r="J8" s="36"/>
      <c r="K8" s="36"/>
      <c r="L8" s="155"/>
      <c r="M8" s="156"/>
      <c r="N8" s="145"/>
      <c r="O8" s="146"/>
    </row>
    <row r="9" spans="1:35">
      <c r="A9" s="89"/>
      <c r="B9" s="133"/>
      <c r="C9" s="43"/>
      <c r="D9" s="486">
        <v>2</v>
      </c>
      <c r="E9" s="486">
        <v>8</v>
      </c>
      <c r="F9" s="486">
        <v>7.95</v>
      </c>
      <c r="G9" s="577">
        <f>D9*E9*F9</f>
        <v>127.2</v>
      </c>
      <c r="H9" s="533"/>
      <c r="I9" s="35"/>
      <c r="J9" s="36"/>
      <c r="K9" s="36"/>
      <c r="L9" s="159"/>
      <c r="M9" s="160"/>
      <c r="N9" s="149"/>
      <c r="O9" s="150"/>
    </row>
    <row r="10" spans="1:35">
      <c r="A10" s="88"/>
      <c r="B10" s="131"/>
      <c r="C10" s="43"/>
      <c r="D10" s="486"/>
      <c r="E10" s="486"/>
      <c r="F10" s="486"/>
      <c r="G10" s="33"/>
      <c r="H10" s="533">
        <v>0</v>
      </c>
      <c r="I10" s="35"/>
      <c r="J10" s="36"/>
      <c r="K10" s="36"/>
      <c r="L10" s="159"/>
      <c r="M10" s="160"/>
      <c r="N10" s="149"/>
      <c r="O10" s="150"/>
    </row>
    <row r="11" spans="1:35" ht="16.2" thickBot="1">
      <c r="A11" s="89"/>
      <c r="B11" s="133"/>
      <c r="C11" s="43"/>
      <c r="D11" s="483"/>
      <c r="E11" s="483"/>
      <c r="F11" s="483"/>
      <c r="G11" s="33"/>
      <c r="H11" s="556"/>
      <c r="I11" s="35"/>
      <c r="J11" s="36"/>
      <c r="K11" s="36"/>
      <c r="L11" s="159"/>
      <c r="M11" s="160"/>
      <c r="N11" s="149"/>
      <c r="O11" s="150"/>
    </row>
    <row r="12" spans="1:35" ht="16.2" thickTop="1">
      <c r="A12" s="91"/>
      <c r="B12" s="130"/>
      <c r="C12" s="24"/>
      <c r="D12" s="483"/>
      <c r="E12" s="483"/>
      <c r="F12" s="483"/>
      <c r="G12" s="33"/>
      <c r="H12" s="554"/>
      <c r="I12" s="17"/>
      <c r="J12" s="20"/>
      <c r="K12" s="20"/>
      <c r="L12" s="157"/>
      <c r="M12" s="158"/>
      <c r="N12" s="147"/>
      <c r="O12" s="148"/>
    </row>
    <row r="13" spans="1:35">
      <c r="A13" s="90"/>
      <c r="B13" s="132"/>
      <c r="C13" s="67"/>
      <c r="D13" s="499"/>
      <c r="E13" s="499"/>
      <c r="F13" s="499"/>
      <c r="G13" s="69"/>
      <c r="H13" s="528"/>
      <c r="I13" s="75"/>
      <c r="J13" s="76"/>
      <c r="K13" s="77"/>
      <c r="L13" s="154" t="s">
        <v>140</v>
      </c>
      <c r="M13" s="154">
        <f>SUM(M5:M12)</f>
        <v>6360</v>
      </c>
      <c r="N13" s="144" t="s">
        <v>140</v>
      </c>
      <c r="O13" s="144">
        <f>SUM(O5:O12)</f>
        <v>9540</v>
      </c>
    </row>
    <row r="14" spans="1:35">
      <c r="A14" s="631" t="s">
        <v>364</v>
      </c>
      <c r="B14" s="632"/>
      <c r="C14" s="632"/>
      <c r="D14" s="632"/>
      <c r="E14" s="632"/>
      <c r="F14" s="632"/>
      <c r="G14" s="632"/>
      <c r="H14" s="632"/>
      <c r="I14" s="632"/>
      <c r="J14" s="632"/>
      <c r="K14" s="632"/>
      <c r="L14" s="632"/>
      <c r="M14" s="633"/>
      <c r="N14" s="41"/>
      <c r="O14" s="41"/>
    </row>
    <row r="15" spans="1:35">
      <c r="B15" s="133"/>
      <c r="C15" s="38"/>
      <c r="D15" s="486"/>
      <c r="E15" s="486"/>
      <c r="F15" s="486"/>
      <c r="G15" s="80"/>
      <c r="H15" s="478"/>
      <c r="I15" s="63"/>
      <c r="J15" s="64"/>
      <c r="K15" s="64"/>
      <c r="L15" s="64"/>
      <c r="M15" s="81"/>
      <c r="N15" s="41"/>
      <c r="O15" s="41"/>
    </row>
    <row r="28" spans="10:10">
      <c r="J28" s="808">
        <f>SUM(J11:J24)-J18</f>
        <v>0</v>
      </c>
    </row>
    <row r="38" ht="19.95" customHeight="1"/>
  </sheetData>
  <mergeCells count="2">
    <mergeCell ref="C7:F7"/>
    <mergeCell ref="K1:M1"/>
  </mergeCells>
  <pageMargins left="0.7" right="0.7" top="0.75" bottom="0.75" header="0.3" footer="0.3"/>
  <pageSetup paperSize="9" scale="45" orientation="portrait" r:id="rId1"/>
  <colBreaks count="1" manualBreakCount="1">
    <brk id="15" max="5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2"/>
  <sheetViews>
    <sheetView workbookViewId="0">
      <selection activeCell="H11" sqref="H11"/>
    </sheetView>
  </sheetViews>
  <sheetFormatPr defaultColWidth="9" defaultRowHeight="13.8"/>
  <cols>
    <col min="1" max="1" width="11.19921875" style="517" customWidth="1"/>
    <col min="2" max="2" width="8.19921875" style="517" customWidth="1"/>
    <col min="3" max="3" width="7.5" style="517" bestFit="1" customWidth="1"/>
    <col min="4" max="4" width="10.3984375" style="517" customWidth="1"/>
    <col min="5" max="5" width="11.3984375" style="517" customWidth="1"/>
    <col min="6" max="6" width="8" style="517" customWidth="1"/>
    <col min="7" max="16384" width="9" style="517"/>
  </cols>
  <sheetData>
    <row r="1" spans="1:10" ht="28.2" thickBot="1">
      <c r="A1" s="585" t="s">
        <v>29</v>
      </c>
      <c r="B1" s="585" t="s">
        <v>30</v>
      </c>
      <c r="C1" s="586" t="s">
        <v>31</v>
      </c>
      <c r="D1" s="587" t="s">
        <v>32</v>
      </c>
      <c r="E1" s="588" t="s">
        <v>33</v>
      </c>
      <c r="F1" s="595" t="s">
        <v>34</v>
      </c>
      <c r="H1" s="847" t="s">
        <v>35</v>
      </c>
      <c r="I1" s="847" t="s">
        <v>36</v>
      </c>
      <c r="J1" s="847" t="s">
        <v>37</v>
      </c>
    </row>
    <row r="2" spans="1:10">
      <c r="A2" s="589" t="s">
        <v>38</v>
      </c>
      <c r="B2" s="589">
        <v>0.56999999999999995</v>
      </c>
      <c r="C2" s="852">
        <f>B2*$H$2/1000</f>
        <v>0.81509999999999994</v>
      </c>
      <c r="D2" s="852">
        <f>C2*$I$2/1000</f>
        <v>1.1655929999999999</v>
      </c>
      <c r="E2" s="852">
        <f>D2*$J$2/1000</f>
        <v>2.2495944899999998</v>
      </c>
      <c r="F2" s="844">
        <f>1000/B2</f>
        <v>1754.3859649122808</v>
      </c>
      <c r="H2" s="848">
        <v>1430</v>
      </c>
      <c r="I2" s="848">
        <v>1430</v>
      </c>
      <c r="J2" s="848">
        <v>1930</v>
      </c>
    </row>
    <row r="3" spans="1:10">
      <c r="A3" s="590" t="s">
        <v>39</v>
      </c>
      <c r="B3" s="590">
        <v>0.91</v>
      </c>
      <c r="C3" s="852">
        <f t="shared" ref="C3:C9" si="0">B3*$H$2/1000</f>
        <v>1.3012999999999999</v>
      </c>
      <c r="D3" s="852">
        <f t="shared" ref="D3:D10" si="1">C3*$I$2/1000</f>
        <v>1.8608589999999998</v>
      </c>
      <c r="E3" s="852">
        <f t="shared" ref="E3:E10" si="2">D3*$J$2/1000</f>
        <v>3.5914578699999997</v>
      </c>
      <c r="F3" s="845">
        <f t="shared" ref="F3:F10" si="3">1000/B3</f>
        <v>1098.901098901099</v>
      </c>
    </row>
    <row r="4" spans="1:10">
      <c r="A4" s="590" t="s">
        <v>40</v>
      </c>
      <c r="B4" s="590">
        <v>1.61</v>
      </c>
      <c r="C4" s="852">
        <f t="shared" si="0"/>
        <v>2.3023000000000002</v>
      </c>
      <c r="D4" s="852">
        <f t="shared" si="1"/>
        <v>3.2922890000000002</v>
      </c>
      <c r="E4" s="852">
        <f t="shared" si="2"/>
        <v>6.3541177700000011</v>
      </c>
      <c r="F4" s="845">
        <f t="shared" si="3"/>
        <v>621.11801242236027</v>
      </c>
    </row>
    <row r="5" spans="1:10">
      <c r="A5" s="590" t="s">
        <v>41</v>
      </c>
      <c r="B5" s="590">
        <v>2.5299999999999998</v>
      </c>
      <c r="C5" s="852">
        <f t="shared" si="0"/>
        <v>3.6178999999999997</v>
      </c>
      <c r="D5" s="852">
        <f t="shared" si="1"/>
        <v>5.173597</v>
      </c>
      <c r="E5" s="852">
        <f t="shared" si="2"/>
        <v>9.9850422099999996</v>
      </c>
      <c r="F5" s="845">
        <f t="shared" si="3"/>
        <v>395.25691699604744</v>
      </c>
    </row>
    <row r="6" spans="1:10">
      <c r="A6" s="590" t="s">
        <v>42</v>
      </c>
      <c r="B6" s="590">
        <v>3.64</v>
      </c>
      <c r="C6" s="852">
        <f t="shared" si="0"/>
        <v>5.2051999999999996</v>
      </c>
      <c r="D6" s="852">
        <f t="shared" si="1"/>
        <v>7.4434359999999993</v>
      </c>
      <c r="E6" s="852">
        <f t="shared" si="2"/>
        <v>14.365831479999999</v>
      </c>
      <c r="F6" s="845">
        <f t="shared" si="3"/>
        <v>274.72527472527474</v>
      </c>
    </row>
    <row r="7" spans="1:10">
      <c r="A7" s="590" t="s">
        <v>43</v>
      </c>
      <c r="B7" s="590">
        <v>4.96</v>
      </c>
      <c r="C7" s="852">
        <f t="shared" si="0"/>
        <v>7.0928000000000004</v>
      </c>
      <c r="D7" s="852">
        <f t="shared" si="1"/>
        <v>10.142704</v>
      </c>
      <c r="E7" s="852">
        <f t="shared" si="2"/>
        <v>19.575418720000002</v>
      </c>
      <c r="F7" s="845">
        <f t="shared" si="3"/>
        <v>201.61290322580646</v>
      </c>
    </row>
    <row r="8" spans="1:10">
      <c r="A8" s="590" t="s">
        <v>44</v>
      </c>
      <c r="B8" s="590">
        <v>6.47</v>
      </c>
      <c r="C8" s="852">
        <f t="shared" si="0"/>
        <v>9.2521000000000004</v>
      </c>
      <c r="D8" s="852">
        <f t="shared" si="1"/>
        <v>13.230503000000001</v>
      </c>
      <c r="E8" s="852">
        <f t="shared" si="2"/>
        <v>25.534870789999999</v>
      </c>
      <c r="F8" s="845">
        <f t="shared" si="3"/>
        <v>154.5595054095827</v>
      </c>
    </row>
    <row r="9" spans="1:10">
      <c r="A9" s="590" t="s">
        <v>45</v>
      </c>
      <c r="B9" s="590">
        <v>8.19</v>
      </c>
      <c r="C9" s="852">
        <f t="shared" si="0"/>
        <v>11.711699999999999</v>
      </c>
      <c r="D9" s="852">
        <f t="shared" si="1"/>
        <v>16.747730999999998</v>
      </c>
      <c r="E9" s="852">
        <f t="shared" si="2"/>
        <v>32.323120829999993</v>
      </c>
      <c r="F9" s="845">
        <f t="shared" si="3"/>
        <v>122.10012210012211</v>
      </c>
    </row>
    <row r="10" spans="1:10" ht="28.5" customHeight="1" thickBot="1">
      <c r="A10" s="591" t="s">
        <v>46</v>
      </c>
      <c r="B10" s="591">
        <v>10.119999999999999</v>
      </c>
      <c r="C10" s="852">
        <f>B10*$H$2/1000</f>
        <v>14.471599999999999</v>
      </c>
      <c r="D10" s="852">
        <f t="shared" si="1"/>
        <v>20.694388</v>
      </c>
      <c r="E10" s="852">
        <f t="shared" si="2"/>
        <v>39.940168839999998</v>
      </c>
      <c r="F10" s="846">
        <f t="shared" si="3"/>
        <v>98.814229249011859</v>
      </c>
    </row>
    <row r="11" spans="1:10" ht="14.4" thickBot="1"/>
    <row r="12" spans="1:10" ht="28.2" thickBot="1">
      <c r="A12" s="599" t="s">
        <v>47</v>
      </c>
      <c r="B12" s="599" t="s">
        <v>48</v>
      </c>
      <c r="C12" s="604" t="s">
        <v>49</v>
      </c>
      <c r="D12" s="587" t="s">
        <v>50</v>
      </c>
      <c r="E12" s="766" t="s">
        <v>51</v>
      </c>
      <c r="F12" s="770"/>
    </row>
    <row r="13" spans="1:10">
      <c r="A13" s="598" t="s">
        <v>52</v>
      </c>
      <c r="B13" s="598">
        <v>21</v>
      </c>
      <c r="C13" s="849">
        <v>40</v>
      </c>
      <c r="D13" s="606">
        <f>ROUNDUP(C13/12.5,1)</f>
        <v>3.2</v>
      </c>
      <c r="E13" s="767">
        <f>ROUNDUP((1000/B13),0)</f>
        <v>48</v>
      </c>
      <c r="F13" s="730">
        <f>B13/13</f>
        <v>1.6153846153846154</v>
      </c>
    </row>
    <row r="14" spans="1:10">
      <c r="A14" s="592" t="s">
        <v>53</v>
      </c>
      <c r="B14" s="601">
        <v>33</v>
      </c>
      <c r="C14" s="853">
        <v>49.08</v>
      </c>
      <c r="D14" s="594">
        <f>ROUNDUP(C14/12.5,1)</f>
        <v>4</v>
      </c>
      <c r="E14" s="768">
        <f>ROUNDUP((1000/B14),0)</f>
        <v>31</v>
      </c>
      <c r="F14" s="596">
        <f t="shared" ref="F14:F26" si="4">B14/13</f>
        <v>2.5384615384615383</v>
      </c>
      <c r="G14" s="857">
        <v>100</v>
      </c>
      <c r="H14" s="858">
        <f>1000/G14</f>
        <v>10</v>
      </c>
      <c r="I14" s="858">
        <f t="shared" ref="I14:I20" si="5">1000/G14*2</f>
        <v>20</v>
      </c>
    </row>
    <row r="15" spans="1:10">
      <c r="A15" s="592" t="s">
        <v>54</v>
      </c>
      <c r="B15" s="601">
        <v>40</v>
      </c>
      <c r="C15" s="853">
        <v>58.25</v>
      </c>
      <c r="D15" s="594">
        <f t="shared" ref="D15:D26" si="6">ROUNDUP(C15/12.5,1)</f>
        <v>4.6999999999999993</v>
      </c>
      <c r="E15" s="768">
        <f t="shared" ref="E15:E26" si="7">ROUNDUP((1000/B15),0)</f>
        <v>25</v>
      </c>
      <c r="F15" s="596">
        <f t="shared" si="4"/>
        <v>3.0769230769230771</v>
      </c>
      <c r="G15" s="857">
        <v>150</v>
      </c>
      <c r="H15" s="858">
        <f t="shared" ref="H15:H20" si="8">1000/G15</f>
        <v>6.666666666666667</v>
      </c>
      <c r="I15" s="858">
        <f t="shared" si="5"/>
        <v>13.333333333333334</v>
      </c>
    </row>
    <row r="16" spans="1:10">
      <c r="A16" s="592" t="s">
        <v>55</v>
      </c>
      <c r="B16" s="601">
        <v>52</v>
      </c>
      <c r="C16" s="853">
        <v>71.64</v>
      </c>
      <c r="D16" s="594">
        <f t="shared" si="6"/>
        <v>5.8</v>
      </c>
      <c r="E16" s="768">
        <f t="shared" si="7"/>
        <v>20</v>
      </c>
      <c r="F16" s="596">
        <f t="shared" si="4"/>
        <v>4</v>
      </c>
      <c r="G16" s="857">
        <v>200</v>
      </c>
      <c r="H16" s="858">
        <f t="shared" si="8"/>
        <v>5</v>
      </c>
      <c r="I16" s="858">
        <f t="shared" si="5"/>
        <v>10</v>
      </c>
    </row>
    <row r="17" spans="1:9">
      <c r="A17" s="592" t="s">
        <v>56</v>
      </c>
      <c r="B17" s="601">
        <v>65</v>
      </c>
      <c r="C17" s="853">
        <v>89.92</v>
      </c>
      <c r="D17" s="594">
        <f t="shared" si="6"/>
        <v>7.1999999999999993</v>
      </c>
      <c r="E17" s="768">
        <f t="shared" si="7"/>
        <v>16</v>
      </c>
      <c r="F17" s="596">
        <f t="shared" si="4"/>
        <v>5</v>
      </c>
      <c r="G17" s="857">
        <v>250</v>
      </c>
      <c r="H17" s="858">
        <f t="shared" si="8"/>
        <v>4</v>
      </c>
      <c r="I17" s="858">
        <f t="shared" si="5"/>
        <v>8</v>
      </c>
    </row>
    <row r="18" spans="1:9">
      <c r="A18" s="592" t="s">
        <v>57</v>
      </c>
      <c r="B18" s="601">
        <v>80</v>
      </c>
      <c r="C18" s="853">
        <v>111.81</v>
      </c>
      <c r="D18" s="854">
        <f t="shared" si="6"/>
        <v>9</v>
      </c>
      <c r="E18" s="768">
        <f t="shared" si="7"/>
        <v>13</v>
      </c>
      <c r="F18" s="596">
        <f t="shared" si="4"/>
        <v>6.1538461538461542</v>
      </c>
      <c r="G18" s="857">
        <v>300</v>
      </c>
      <c r="H18" s="858">
        <f t="shared" si="8"/>
        <v>3.3333333333333335</v>
      </c>
      <c r="I18" s="858">
        <f t="shared" si="5"/>
        <v>6.666666666666667</v>
      </c>
    </row>
    <row r="19" spans="1:9">
      <c r="A19" s="592" t="s">
        <v>58</v>
      </c>
      <c r="B19" s="601">
        <v>105</v>
      </c>
      <c r="C19" s="853">
        <v>148.38</v>
      </c>
      <c r="D19" s="594">
        <f t="shared" si="6"/>
        <v>11.9</v>
      </c>
      <c r="E19" s="768">
        <f t="shared" si="7"/>
        <v>10</v>
      </c>
      <c r="F19" s="596">
        <f t="shared" si="4"/>
        <v>8.0769230769230766</v>
      </c>
      <c r="G19" s="857">
        <v>350</v>
      </c>
      <c r="H19" s="858">
        <f t="shared" si="8"/>
        <v>2.8571428571428572</v>
      </c>
      <c r="I19" s="858">
        <f t="shared" si="5"/>
        <v>5.7142857142857144</v>
      </c>
    </row>
    <row r="20" spans="1:9">
      <c r="A20" s="593"/>
      <c r="B20" s="601"/>
      <c r="C20" s="850"/>
      <c r="D20" s="594"/>
      <c r="E20" s="768"/>
      <c r="F20" s="596"/>
      <c r="G20" s="857">
        <v>400</v>
      </c>
      <c r="H20" s="858">
        <f t="shared" si="8"/>
        <v>2.5</v>
      </c>
      <c r="I20" s="858">
        <f t="shared" si="5"/>
        <v>5</v>
      </c>
    </row>
    <row r="21" spans="1:9">
      <c r="A21" s="592" t="s">
        <v>59</v>
      </c>
      <c r="B21" s="602">
        <v>68</v>
      </c>
      <c r="C21" s="851">
        <v>96.05</v>
      </c>
      <c r="D21" s="594">
        <f t="shared" si="6"/>
        <v>7.6999999999999993</v>
      </c>
      <c r="E21" s="768">
        <f t="shared" si="7"/>
        <v>15</v>
      </c>
      <c r="F21" s="596">
        <f t="shared" si="4"/>
        <v>5.2307692307692308</v>
      </c>
    </row>
    <row r="22" spans="1:9">
      <c r="A22" s="592" t="s">
        <v>60</v>
      </c>
      <c r="B22" s="602">
        <v>79</v>
      </c>
      <c r="C22" s="851">
        <v>111.45</v>
      </c>
      <c r="D22" s="594">
        <f t="shared" si="6"/>
        <v>9</v>
      </c>
      <c r="E22" s="768">
        <f t="shared" si="7"/>
        <v>13</v>
      </c>
      <c r="F22" s="596">
        <f t="shared" si="4"/>
        <v>6.0769230769230766</v>
      </c>
    </row>
    <row r="23" spans="1:9">
      <c r="A23" s="592" t="s">
        <v>61</v>
      </c>
      <c r="B23" s="601">
        <v>93</v>
      </c>
      <c r="C23" s="853">
        <v>131.18</v>
      </c>
      <c r="D23" s="854">
        <f t="shared" si="6"/>
        <v>10.5</v>
      </c>
      <c r="E23" s="768">
        <f t="shared" si="7"/>
        <v>11</v>
      </c>
      <c r="F23" s="596">
        <f t="shared" si="4"/>
        <v>7.1538461538461542</v>
      </c>
    </row>
    <row r="24" spans="1:9">
      <c r="A24" s="592" t="s">
        <v>62</v>
      </c>
      <c r="B24" s="601">
        <v>109</v>
      </c>
      <c r="C24" s="853">
        <v>153.88999999999999</v>
      </c>
      <c r="D24" s="854">
        <f t="shared" si="6"/>
        <v>12.4</v>
      </c>
      <c r="E24" s="768">
        <f t="shared" si="7"/>
        <v>10</v>
      </c>
      <c r="F24" s="596">
        <f t="shared" si="4"/>
        <v>8.384615384615385</v>
      </c>
    </row>
    <row r="25" spans="1:9">
      <c r="A25" s="592" t="s">
        <v>63</v>
      </c>
      <c r="B25" s="602">
        <v>131</v>
      </c>
      <c r="C25" s="855">
        <v>184.79</v>
      </c>
      <c r="D25" s="854">
        <f t="shared" si="6"/>
        <v>14.799999999999999</v>
      </c>
      <c r="E25" s="768">
        <f t="shared" si="7"/>
        <v>8</v>
      </c>
      <c r="F25" s="596">
        <f t="shared" si="4"/>
        <v>10.076923076923077</v>
      </c>
    </row>
    <row r="26" spans="1:9" ht="28.2" customHeight="1" thickBot="1">
      <c r="A26" s="600" t="s">
        <v>64</v>
      </c>
      <c r="B26" s="603">
        <v>157</v>
      </c>
      <c r="C26" s="856">
        <v>221.35</v>
      </c>
      <c r="D26" s="854">
        <f t="shared" si="6"/>
        <v>17.8</v>
      </c>
      <c r="E26" s="769">
        <f t="shared" si="7"/>
        <v>7</v>
      </c>
      <c r="F26" s="597">
        <f t="shared" si="4"/>
        <v>12.076923076923077</v>
      </c>
    </row>
    <row r="28" spans="1:9" ht="27.6">
      <c r="A28" s="859" t="s">
        <v>65</v>
      </c>
      <c r="B28" s="860" t="s">
        <v>66</v>
      </c>
      <c r="C28" s="861" t="s">
        <v>67</v>
      </c>
      <c r="D28" s="862" t="s">
        <v>68</v>
      </c>
      <c r="E28" s="172"/>
    </row>
    <row r="29" spans="1:9">
      <c r="A29" s="863" t="s">
        <v>69</v>
      </c>
      <c r="B29" s="864">
        <v>6.8</v>
      </c>
      <c r="C29" s="868">
        <f>C33-3.5</f>
        <v>17.670000000000002</v>
      </c>
      <c r="D29" s="865">
        <f>C29/5</f>
        <v>3.5340000000000003</v>
      </c>
      <c r="E29" s="870"/>
    </row>
    <row r="30" spans="1:9">
      <c r="A30" s="863" t="s">
        <v>70</v>
      </c>
      <c r="B30" s="864">
        <v>9.1999999999999993</v>
      </c>
      <c r="C30" s="868">
        <f>C34-3.5</f>
        <v>24.68</v>
      </c>
      <c r="D30" s="865">
        <f t="shared" ref="D30:D44" si="9">C30/5</f>
        <v>4.9359999999999999</v>
      </c>
      <c r="E30" s="870"/>
      <c r="G30" s="80"/>
      <c r="H30" s="605"/>
    </row>
    <row r="31" spans="1:9">
      <c r="A31" s="863" t="s">
        <v>71</v>
      </c>
      <c r="B31" s="864">
        <v>11.6</v>
      </c>
      <c r="C31" s="868">
        <f>C35-3.5</f>
        <v>31.78</v>
      </c>
      <c r="D31" s="865">
        <f t="shared" si="9"/>
        <v>6.3559999999999999</v>
      </c>
      <c r="E31" s="870"/>
      <c r="G31" s="80"/>
      <c r="H31" s="605"/>
    </row>
    <row r="32" spans="1:9">
      <c r="A32" s="863" t="s">
        <v>72</v>
      </c>
      <c r="B32" s="864">
        <v>13.9</v>
      </c>
      <c r="C32" s="868">
        <f>C36-3.5</f>
        <v>38.78</v>
      </c>
      <c r="D32" s="865">
        <f t="shared" si="9"/>
        <v>7.7560000000000002</v>
      </c>
      <c r="E32" s="870"/>
      <c r="G32" s="80"/>
      <c r="H32" s="605"/>
    </row>
    <row r="33" spans="1:8">
      <c r="A33" s="863" t="s">
        <v>73</v>
      </c>
      <c r="B33" s="864">
        <v>13.3</v>
      </c>
      <c r="C33" s="866">
        <v>21.17</v>
      </c>
      <c r="D33" s="865">
        <f t="shared" si="9"/>
        <v>4.234</v>
      </c>
      <c r="E33" s="870"/>
      <c r="G33" s="80"/>
      <c r="H33" s="605"/>
    </row>
    <row r="34" spans="1:8">
      <c r="A34" s="863" t="s">
        <v>74</v>
      </c>
      <c r="B34" s="864">
        <v>17.7</v>
      </c>
      <c r="C34" s="866">
        <v>28.18</v>
      </c>
      <c r="D34" s="865">
        <f t="shared" si="9"/>
        <v>5.6360000000000001</v>
      </c>
      <c r="E34" s="870"/>
      <c r="G34" s="80"/>
      <c r="H34" s="605"/>
    </row>
    <row r="35" spans="1:8">
      <c r="A35" s="863" t="s">
        <v>75</v>
      </c>
      <c r="B35" s="864">
        <v>22.3</v>
      </c>
      <c r="C35" s="867">
        <v>35.28</v>
      </c>
      <c r="D35" s="865">
        <f t="shared" si="9"/>
        <v>7.056</v>
      </c>
      <c r="E35" s="870"/>
      <c r="G35" s="80"/>
      <c r="H35" s="605"/>
    </row>
    <row r="36" spans="1:8">
      <c r="A36" s="863" t="s">
        <v>76</v>
      </c>
      <c r="B36" s="864">
        <v>26.8</v>
      </c>
      <c r="C36" s="869">
        <f>C35+7</f>
        <v>42.28</v>
      </c>
      <c r="D36" s="865">
        <f t="shared" si="9"/>
        <v>8.4559999999999995</v>
      </c>
      <c r="E36" s="870"/>
      <c r="G36" s="80"/>
      <c r="H36" s="605"/>
    </row>
    <row r="37" spans="1:8">
      <c r="A37" s="863" t="s">
        <v>77</v>
      </c>
      <c r="B37" s="864">
        <v>15.8</v>
      </c>
      <c r="C37" s="867">
        <v>25.96</v>
      </c>
      <c r="D37" s="865">
        <f t="shared" si="9"/>
        <v>5.1920000000000002</v>
      </c>
      <c r="E37" s="870"/>
    </row>
    <row r="38" spans="1:8">
      <c r="A38" s="863" t="s">
        <v>78</v>
      </c>
      <c r="B38" s="864">
        <v>21.2</v>
      </c>
      <c r="C38" s="867">
        <v>34.72</v>
      </c>
      <c r="D38" s="865">
        <f t="shared" si="9"/>
        <v>6.944</v>
      </c>
      <c r="E38" s="870"/>
    </row>
    <row r="39" spans="1:8">
      <c r="A39" s="863" t="s">
        <v>79</v>
      </c>
      <c r="B39" s="864">
        <v>26.5</v>
      </c>
      <c r="C39" s="867">
        <v>43.21</v>
      </c>
      <c r="D39" s="865">
        <f t="shared" si="9"/>
        <v>8.6419999999999995</v>
      </c>
      <c r="E39" s="870"/>
    </row>
    <row r="40" spans="1:8">
      <c r="A40" s="767" t="s">
        <v>80</v>
      </c>
      <c r="B40" s="864">
        <v>31.9</v>
      </c>
      <c r="C40" s="869">
        <f>C39+9</f>
        <v>52.21</v>
      </c>
      <c r="D40" s="865">
        <f t="shared" si="9"/>
        <v>10.442</v>
      </c>
      <c r="E40" s="870"/>
    </row>
    <row r="41" spans="1:8">
      <c r="A41" s="767" t="s">
        <v>81</v>
      </c>
      <c r="B41" s="864">
        <f>1.61*6*3</f>
        <v>28.98</v>
      </c>
      <c r="C41" s="867">
        <v>48.72</v>
      </c>
      <c r="D41" s="865">
        <f t="shared" si="9"/>
        <v>9.7439999999999998</v>
      </c>
      <c r="E41" s="870"/>
    </row>
    <row r="42" spans="1:8">
      <c r="A42" s="767" t="s">
        <v>82</v>
      </c>
      <c r="B42" s="864">
        <f>1.61*6*4</f>
        <v>38.64</v>
      </c>
      <c r="C42" s="867">
        <v>65.41</v>
      </c>
      <c r="D42" s="865">
        <f t="shared" si="9"/>
        <v>13.081999999999999</v>
      </c>
      <c r="E42" s="870"/>
    </row>
    <row r="43" spans="1:8">
      <c r="A43" s="767" t="s">
        <v>83</v>
      </c>
      <c r="B43" s="864">
        <f>1.61*6*5</f>
        <v>48.3</v>
      </c>
      <c r="C43" s="867">
        <v>81.17</v>
      </c>
      <c r="D43" s="865">
        <f t="shared" si="9"/>
        <v>16.234000000000002</v>
      </c>
      <c r="E43" s="870"/>
    </row>
    <row r="44" spans="1:8">
      <c r="A44" s="767" t="s">
        <v>84</v>
      </c>
      <c r="B44" s="864">
        <f>1.61*6*6</f>
        <v>57.96</v>
      </c>
      <c r="C44" s="869">
        <f>C43+16</f>
        <v>97.17</v>
      </c>
      <c r="D44" s="865">
        <f t="shared" si="9"/>
        <v>19.434000000000001</v>
      </c>
    </row>
    <row r="46" spans="1:8" ht="14.4" thickBot="1"/>
    <row r="47" spans="1:8" ht="14.4" thickBot="1">
      <c r="A47" s="871" t="s">
        <v>85</v>
      </c>
      <c r="B47" s="871" t="s">
        <v>5</v>
      </c>
      <c r="C47" s="80"/>
    </row>
    <row r="48" spans="1:8" ht="14.4" thickBot="1">
      <c r="A48" s="872" t="s">
        <v>86</v>
      </c>
      <c r="B48" s="872" t="s">
        <v>87</v>
      </c>
      <c r="C48" s="172"/>
    </row>
    <row r="49" spans="1:3">
      <c r="A49" s="873" t="s">
        <v>88</v>
      </c>
      <c r="B49" s="874">
        <v>130</v>
      </c>
      <c r="C49" s="174"/>
    </row>
    <row r="50" spans="1:3">
      <c r="A50" s="875" t="s">
        <v>89</v>
      </c>
      <c r="B50" s="876">
        <v>142</v>
      </c>
      <c r="C50" s="174"/>
    </row>
    <row r="51" spans="1:3">
      <c r="A51" s="875" t="s">
        <v>90</v>
      </c>
      <c r="B51" s="876">
        <v>146</v>
      </c>
      <c r="C51" s="174"/>
    </row>
    <row r="52" spans="1:3">
      <c r="A52" s="875" t="s">
        <v>91</v>
      </c>
      <c r="B52" s="876">
        <v>158</v>
      </c>
      <c r="C52" s="174"/>
    </row>
    <row r="53" spans="1:3">
      <c r="A53" s="875" t="s">
        <v>92</v>
      </c>
      <c r="B53" s="876">
        <v>166</v>
      </c>
      <c r="C53" s="174"/>
    </row>
    <row r="54" spans="1:3" ht="14.4" thickBot="1">
      <c r="A54" s="877" t="s">
        <v>93</v>
      </c>
      <c r="B54" s="878">
        <v>176</v>
      </c>
      <c r="C54" s="174"/>
    </row>
    <row r="55" spans="1:3" ht="14.4" thickBot="1">
      <c r="A55" s="877"/>
      <c r="B55" s="878"/>
      <c r="C55" s="174"/>
    </row>
    <row r="56" spans="1:3" ht="14.4" thickBot="1">
      <c r="A56" s="872" t="s">
        <v>94</v>
      </c>
      <c r="B56" s="872" t="s">
        <v>87</v>
      </c>
      <c r="C56" s="172"/>
    </row>
    <row r="57" spans="1:3">
      <c r="A57" s="873" t="s">
        <v>95</v>
      </c>
      <c r="B57" s="874">
        <v>175</v>
      </c>
      <c r="C57" s="174"/>
    </row>
    <row r="58" spans="1:3">
      <c r="A58" s="875" t="s">
        <v>96</v>
      </c>
      <c r="B58" s="876">
        <v>185</v>
      </c>
      <c r="C58" s="174"/>
    </row>
    <row r="59" spans="1:3">
      <c r="A59" s="875" t="s">
        <v>97</v>
      </c>
      <c r="B59" s="876">
        <v>200</v>
      </c>
      <c r="C59" s="174"/>
    </row>
    <row r="60" spans="1:3">
      <c r="A60" s="875"/>
      <c r="B60" s="876"/>
      <c r="C60" s="174"/>
    </row>
    <row r="61" spans="1:3">
      <c r="A61" s="875"/>
      <c r="B61" s="876"/>
      <c r="C61" s="174"/>
    </row>
    <row r="62" spans="1:3" ht="14.4" thickBot="1">
      <c r="A62" s="877"/>
      <c r="B62" s="878"/>
      <c r="C62" s="17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54"/>
  <sheetViews>
    <sheetView view="pageBreakPreview" topLeftCell="A4" zoomScale="75" zoomScaleNormal="75" zoomScaleSheetLayoutView="75" workbookViewId="0">
      <selection activeCell="K47" sqref="K47"/>
    </sheetView>
  </sheetViews>
  <sheetFormatPr defaultRowHeight="15.6"/>
  <cols>
    <col min="1" max="1" width="18.59765625" customWidth="1"/>
    <col min="3" max="3" width="24.09765625" customWidth="1"/>
    <col min="4" max="6" width="9" style="485" customWidth="1"/>
    <col min="7" max="7" width="11.3984375" style="192" customWidth="1"/>
    <col min="8" max="8" width="10.69921875" style="259" bestFit="1" customWidth="1"/>
    <col min="9" max="9" width="11.59765625" bestFit="1" customWidth="1"/>
    <col min="12" max="12" width="10.69921875" bestFit="1" customWidth="1"/>
    <col min="13" max="13" width="12" customWidth="1"/>
    <col min="14" max="14" width="10.59765625" bestFit="1" customWidth="1"/>
    <col min="15" max="16" width="11.09765625" bestFit="1" customWidth="1"/>
    <col min="17" max="17" width="14.8984375" bestFit="1" customWidth="1"/>
    <col min="18" max="18" width="9.59765625" customWidth="1"/>
    <col min="21" max="21" width="18.8984375" customWidth="1"/>
    <col min="22" max="22" width="13.69921875" customWidth="1"/>
    <col min="23" max="23" width="8.19921875" bestFit="1" customWidth="1"/>
    <col min="24" max="25" width="9.3984375" bestFit="1" customWidth="1"/>
    <col min="26" max="26" width="9.09765625" bestFit="1" customWidth="1"/>
    <col min="27" max="27" width="9.3984375" bestFit="1" customWidth="1"/>
    <col min="28" max="28" width="17.8984375" bestFit="1" customWidth="1"/>
    <col min="29" max="30" width="9.3984375" bestFit="1" customWidth="1"/>
    <col min="31" max="35" width="9.09765625" bestFit="1" customWidth="1"/>
    <col min="37" max="37" width="15.19921875" customWidth="1"/>
  </cols>
  <sheetData>
    <row r="1" spans="1:35">
      <c r="A1" s="94" t="s">
        <v>0</v>
      </c>
      <c r="B1" s="128"/>
      <c r="C1" s="54"/>
      <c r="D1" s="486"/>
      <c r="E1" s="486"/>
      <c r="F1" s="486"/>
      <c r="G1" s="80"/>
      <c r="H1" s="478"/>
      <c r="I1" s="50"/>
      <c r="J1" s="47"/>
      <c r="K1" s="937" t="str">
        <f>SUMMARY!N1</f>
        <v>PROPOSED BUILDING WORKS</v>
      </c>
      <c r="L1" s="937"/>
      <c r="M1" s="937"/>
      <c r="N1" s="2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</row>
    <row r="2" spans="1:35">
      <c r="A2" s="94">
        <f>SUMMARY!A2</f>
        <v>0</v>
      </c>
      <c r="B2" s="128"/>
      <c r="C2" s="54"/>
      <c r="D2" s="486"/>
      <c r="E2" s="486"/>
      <c r="F2" s="486"/>
      <c r="G2" s="80"/>
      <c r="H2" s="478"/>
      <c r="I2" s="50"/>
      <c r="J2" s="47"/>
      <c r="K2" s="47"/>
      <c r="L2" s="47"/>
      <c r="M2" s="53" t="str">
        <f>SUMMARY!N2</f>
        <v>261-263 Balwyn Road, Balwyn North</v>
      </c>
      <c r="N2" s="2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</row>
    <row r="3" spans="1:35" ht="16.2" thickBot="1">
      <c r="A3" s="49"/>
      <c r="B3" s="128"/>
      <c r="C3" s="54"/>
      <c r="D3" s="486"/>
      <c r="E3" s="486"/>
      <c r="F3" s="486"/>
      <c r="G3" s="80"/>
      <c r="H3" s="478"/>
      <c r="I3" s="50"/>
      <c r="J3" s="47"/>
      <c r="K3" s="47"/>
      <c r="L3" s="47"/>
      <c r="M3" s="51" t="str">
        <f>SUMMARY!N3</f>
        <v>ESTIMATE - V1</v>
      </c>
      <c r="N3" s="22"/>
      <c r="O3" s="52"/>
      <c r="P3" s="52"/>
      <c r="Q3" s="52"/>
      <c r="R3" s="52"/>
      <c r="S3" s="52"/>
      <c r="T3" s="52"/>
      <c r="X3" s="37"/>
      <c r="Y3" s="37"/>
      <c r="Z3" s="37"/>
      <c r="AA3" s="52"/>
    </row>
    <row r="4" spans="1:35">
      <c r="A4" s="655" t="s">
        <v>98</v>
      </c>
      <c r="B4" s="656" t="s">
        <v>99</v>
      </c>
      <c r="C4" s="657"/>
      <c r="D4" s="658" t="s">
        <v>100</v>
      </c>
      <c r="E4" s="658" t="s">
        <v>101</v>
      </c>
      <c r="F4" s="658" t="s">
        <v>102</v>
      </c>
      <c r="G4" s="659" t="s">
        <v>103</v>
      </c>
      <c r="H4" s="660" t="s">
        <v>104</v>
      </c>
      <c r="I4" s="661" t="s">
        <v>105</v>
      </c>
      <c r="J4" s="662" t="s">
        <v>106</v>
      </c>
      <c r="K4" s="662" t="s">
        <v>107</v>
      </c>
      <c r="L4" s="663" t="s">
        <v>108</v>
      </c>
      <c r="M4" s="663" t="s">
        <v>109</v>
      </c>
      <c r="N4" s="664" t="s">
        <v>108</v>
      </c>
      <c r="O4" s="665" t="s">
        <v>109</v>
      </c>
      <c r="P4" s="32"/>
      <c r="Q4" s="32"/>
      <c r="R4" s="32"/>
      <c r="S4" s="32"/>
      <c r="T4" s="32"/>
      <c r="U4" s="199"/>
      <c r="V4" s="199"/>
      <c r="W4" s="189"/>
      <c r="X4" s="198"/>
      <c r="Y4" s="627"/>
      <c r="Z4" s="199"/>
      <c r="AA4" s="199"/>
      <c r="AB4" s="199"/>
      <c r="AC4" s="199"/>
      <c r="AD4" s="199"/>
      <c r="AE4" s="199"/>
      <c r="AF4" s="199"/>
      <c r="AG4" s="199"/>
      <c r="AH4" s="183"/>
      <c r="AI4" s="206"/>
    </row>
    <row r="5" spans="1:35">
      <c r="A5" s="666">
        <v>1</v>
      </c>
      <c r="B5" s="61" t="s">
        <v>110</v>
      </c>
      <c r="C5" s="62"/>
      <c r="D5" s="483"/>
      <c r="E5" s="483"/>
      <c r="F5" s="483"/>
      <c r="G5" s="276"/>
      <c r="H5" s="519"/>
      <c r="I5" s="63"/>
      <c r="J5" s="64"/>
      <c r="K5" s="64"/>
      <c r="L5" s="155"/>
      <c r="M5" s="156"/>
      <c r="N5" s="145"/>
      <c r="O5" s="667"/>
      <c r="P5" s="37"/>
      <c r="Q5" s="37"/>
      <c r="R5" s="37"/>
      <c r="S5" s="37"/>
      <c r="T5" s="37"/>
      <c r="U5" s="199"/>
      <c r="V5" s="199"/>
      <c r="W5" s="203"/>
      <c r="X5" s="203"/>
      <c r="Y5" s="203"/>
      <c r="Z5" s="203"/>
      <c r="AA5" s="200"/>
      <c r="AB5" s="201"/>
      <c r="AC5" s="938"/>
      <c r="AD5" s="938"/>
      <c r="AE5" s="938"/>
      <c r="AF5" s="938"/>
      <c r="AG5" s="938"/>
      <c r="AH5" s="938"/>
      <c r="AI5" s="938"/>
    </row>
    <row r="6" spans="1:35">
      <c r="A6" s="668"/>
      <c r="B6" s="65" t="s">
        <v>111</v>
      </c>
      <c r="C6" s="62"/>
      <c r="D6" s="483"/>
      <c r="E6" s="483"/>
      <c r="F6" s="483"/>
      <c r="G6" s="33"/>
      <c r="H6" s="520"/>
      <c r="I6" s="63"/>
      <c r="J6" s="64"/>
      <c r="K6" s="64"/>
      <c r="L6" s="155"/>
      <c r="M6" s="156"/>
      <c r="N6" s="145"/>
      <c r="O6" s="667"/>
      <c r="P6" s="37"/>
      <c r="Q6" s="37"/>
      <c r="R6" s="37"/>
      <c r="S6" s="37"/>
      <c r="T6" s="37"/>
      <c r="U6" s="199"/>
      <c r="V6" s="199"/>
      <c r="W6" s="203"/>
      <c r="X6" s="203"/>
      <c r="Y6" s="203"/>
      <c r="Z6" s="203"/>
      <c r="AA6" s="200"/>
      <c r="AB6" s="202"/>
      <c r="AC6" s="938"/>
      <c r="AD6" s="938"/>
      <c r="AE6" s="938"/>
      <c r="AF6" s="938"/>
      <c r="AG6" s="938"/>
      <c r="AH6" s="938"/>
      <c r="AI6" s="938"/>
    </row>
    <row r="7" spans="1:35">
      <c r="A7" s="669"/>
      <c r="B7" s="176" t="s">
        <v>112</v>
      </c>
      <c r="C7" s="177"/>
      <c r="D7" s="484">
        <v>46.02</v>
      </c>
      <c r="E7" s="484">
        <v>39.619999999999997</v>
      </c>
      <c r="F7" s="484"/>
      <c r="G7" s="514" t="s">
        <v>12</v>
      </c>
      <c r="H7" s="521">
        <f>D7*E7</f>
        <v>1823.3124</v>
      </c>
      <c r="I7" s="17"/>
      <c r="J7" s="20"/>
      <c r="K7" s="20"/>
      <c r="L7" s="157">
        <v>0</v>
      </c>
      <c r="M7" s="158">
        <f>H7*L7</f>
        <v>0</v>
      </c>
      <c r="N7" s="147">
        <v>0</v>
      </c>
      <c r="O7" s="670">
        <f>J7*N7</f>
        <v>0</v>
      </c>
      <c r="P7" s="22"/>
      <c r="Q7" s="22"/>
      <c r="R7" s="22"/>
      <c r="S7" s="22"/>
      <c r="T7" s="22"/>
      <c r="U7" s="199"/>
      <c r="V7" s="199"/>
      <c r="W7" s="203"/>
      <c r="X7" s="203"/>
      <c r="Y7" s="203"/>
      <c r="Z7" s="203"/>
      <c r="AA7" s="200"/>
      <c r="AB7" s="203"/>
      <c r="AC7" s="183"/>
      <c r="AD7" s="183"/>
      <c r="AE7" s="183"/>
      <c r="AF7" s="183"/>
      <c r="AG7" s="183"/>
      <c r="AH7" s="183"/>
      <c r="AI7" s="221"/>
    </row>
    <row r="8" spans="1:35">
      <c r="A8" s="669"/>
      <c r="B8" s="130"/>
      <c r="C8" s="86"/>
      <c r="D8" s="502"/>
      <c r="E8" s="502"/>
      <c r="F8" s="502"/>
      <c r="G8" s="33"/>
      <c r="H8" s="522"/>
      <c r="I8" s="87"/>
      <c r="J8" s="20"/>
      <c r="K8" s="20"/>
      <c r="L8" s="157"/>
      <c r="M8" s="158"/>
      <c r="N8" s="147"/>
      <c r="O8" s="670"/>
      <c r="P8" s="22"/>
      <c r="Q8" s="22"/>
      <c r="R8" s="22"/>
      <c r="S8" s="22"/>
      <c r="T8" s="22"/>
      <c r="U8" s="199"/>
      <c r="V8" s="199"/>
      <c r="W8" s="203"/>
      <c r="X8" s="203"/>
      <c r="Y8" s="203"/>
      <c r="Z8" s="203"/>
      <c r="AA8" s="200"/>
      <c r="AB8" s="203"/>
      <c r="AC8" s="183"/>
      <c r="AD8" s="183"/>
      <c r="AE8" s="625"/>
      <c r="AF8" s="625"/>
      <c r="AG8" s="625"/>
      <c r="AH8" s="183"/>
      <c r="AI8" s="221"/>
    </row>
    <row r="9" spans="1:35">
      <c r="A9" s="669"/>
      <c r="B9" s="671" t="s">
        <v>113</v>
      </c>
      <c r="C9" s="671"/>
      <c r="D9" s="672"/>
      <c r="E9" s="672"/>
      <c r="F9" s="672"/>
      <c r="G9" s="515" t="s">
        <v>12</v>
      </c>
      <c r="H9" s="522"/>
      <c r="L9" s="182"/>
      <c r="M9" s="179"/>
      <c r="N9" s="180"/>
      <c r="O9" s="673"/>
      <c r="P9" s="22"/>
      <c r="Q9" s="22"/>
      <c r="R9" s="22"/>
      <c r="S9" s="22"/>
      <c r="T9" s="22"/>
      <c r="U9" s="199"/>
      <c r="V9" s="199"/>
      <c r="W9" s="199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627"/>
      <c r="AI9" s="206"/>
    </row>
    <row r="10" spans="1:35">
      <c r="A10" s="669"/>
      <c r="B10" s="671"/>
      <c r="C10" s="671"/>
      <c r="D10" s="507">
        <v>31.6</v>
      </c>
      <c r="E10" s="507">
        <v>31.4</v>
      </c>
      <c r="F10" s="885"/>
      <c r="H10" s="523">
        <f>D10*E10</f>
        <v>992.24</v>
      </c>
      <c r="L10" s="182"/>
      <c r="M10" s="179"/>
      <c r="N10" s="180"/>
      <c r="O10" s="673"/>
      <c r="P10" s="22"/>
      <c r="Q10" s="22"/>
      <c r="R10" s="22"/>
      <c r="S10" s="22"/>
      <c r="T10" s="22"/>
      <c r="U10" s="199"/>
      <c r="V10" s="199"/>
      <c r="W10" s="199"/>
      <c r="X10" s="213"/>
      <c r="Y10" s="213"/>
      <c r="Z10" s="213"/>
      <c r="AA10" s="213"/>
      <c r="AB10" s="213"/>
      <c r="AC10" s="213"/>
      <c r="AD10" s="213"/>
      <c r="AE10" s="213"/>
      <c r="AF10" s="213"/>
      <c r="AG10" s="213"/>
      <c r="AH10" s="627"/>
      <c r="AI10" s="206"/>
    </row>
    <row r="11" spans="1:35">
      <c r="A11" s="669"/>
      <c r="D11" s="507">
        <v>-4.3499999999999996</v>
      </c>
      <c r="E11" s="507">
        <v>12.65</v>
      </c>
      <c r="F11" s="885"/>
      <c r="H11" s="523">
        <f t="shared" ref="H11:H15" si="0">D11*E11</f>
        <v>-55.027499999999996</v>
      </c>
      <c r="L11" s="182"/>
      <c r="M11" s="179"/>
      <c r="N11" s="180"/>
      <c r="O11" s="673"/>
      <c r="P11" s="22"/>
      <c r="Q11" s="22"/>
      <c r="R11" s="22"/>
      <c r="S11" s="22"/>
      <c r="T11" s="22"/>
      <c r="U11" s="183"/>
      <c r="V11" s="183"/>
      <c r="W11" s="183"/>
      <c r="X11" s="204"/>
      <c r="Y11" s="204"/>
      <c r="Z11" s="204"/>
      <c r="AA11" s="204"/>
      <c r="AB11" s="204"/>
      <c r="AC11" s="204"/>
      <c r="AD11" s="204"/>
      <c r="AE11" s="204"/>
      <c r="AF11" s="204"/>
      <c r="AG11" s="204"/>
      <c r="AH11" s="199"/>
      <c r="AI11" s="206"/>
    </row>
    <row r="12" spans="1:35" ht="15.75" customHeight="1">
      <c r="A12" s="669"/>
      <c r="C12" s="86"/>
      <c r="D12" s="507">
        <v>-6.1</v>
      </c>
      <c r="E12" s="507">
        <v>5.75</v>
      </c>
      <c r="F12" s="507"/>
      <c r="G12" s="88"/>
      <c r="H12" s="523">
        <f t="shared" si="0"/>
        <v>-35.074999999999996</v>
      </c>
      <c r="L12" s="157"/>
      <c r="M12" s="158"/>
      <c r="N12" s="147"/>
      <c r="O12" s="670"/>
      <c r="P12" s="22"/>
      <c r="Q12" s="22"/>
      <c r="R12" s="22"/>
      <c r="S12" s="22"/>
      <c r="T12" s="22"/>
      <c r="U12" s="183"/>
      <c r="V12" s="183"/>
      <c r="W12" s="183"/>
      <c r="X12" s="214"/>
      <c r="Y12" s="214"/>
      <c r="Z12" s="214"/>
      <c r="AA12" s="214"/>
      <c r="AB12" s="214"/>
      <c r="AC12" s="214"/>
      <c r="AD12" s="214"/>
      <c r="AE12" s="214"/>
      <c r="AF12" s="214"/>
      <c r="AG12" s="214"/>
      <c r="AH12" s="199"/>
      <c r="AI12" s="206"/>
    </row>
    <row r="13" spans="1:35" ht="15.75" customHeight="1">
      <c r="A13" s="669"/>
      <c r="C13" s="86"/>
      <c r="D13" s="507"/>
      <c r="E13" s="507"/>
      <c r="F13" s="507"/>
      <c r="G13" s="88"/>
      <c r="H13" s="523">
        <f t="shared" si="0"/>
        <v>0</v>
      </c>
      <c r="L13" s="157"/>
      <c r="M13" s="158"/>
      <c r="N13" s="147"/>
      <c r="O13" s="670"/>
      <c r="P13" s="22"/>
      <c r="Q13" s="22"/>
      <c r="R13" s="22"/>
      <c r="S13" s="22"/>
      <c r="T13" s="22"/>
      <c r="U13" s="183"/>
      <c r="V13" s="183"/>
      <c r="W13" s="183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199"/>
      <c r="AI13" s="206"/>
    </row>
    <row r="14" spans="1:35" ht="15.75" customHeight="1">
      <c r="A14" s="669"/>
      <c r="C14" s="175"/>
      <c r="D14" s="507"/>
      <c r="E14" s="507"/>
      <c r="F14" s="507"/>
      <c r="G14" s="88"/>
      <c r="H14" s="523">
        <f t="shared" si="0"/>
        <v>0</v>
      </c>
      <c r="L14" s="157"/>
      <c r="M14" s="158"/>
      <c r="N14" s="147"/>
      <c r="O14" s="670"/>
      <c r="P14" s="22"/>
      <c r="Q14" s="22"/>
      <c r="R14" s="22"/>
      <c r="S14" s="22"/>
      <c r="T14" s="22"/>
      <c r="U14" s="183"/>
      <c r="V14" s="183"/>
      <c r="W14" s="183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199"/>
      <c r="AI14" s="206"/>
    </row>
    <row r="15" spans="1:35" ht="15.75" customHeight="1">
      <c r="A15" s="669"/>
      <c r="C15" s="175"/>
      <c r="D15" s="507"/>
      <c r="E15" s="507"/>
      <c r="F15" s="507"/>
      <c r="G15" s="88"/>
      <c r="H15" s="523">
        <f t="shared" si="0"/>
        <v>0</v>
      </c>
      <c r="L15" s="157"/>
      <c r="M15" s="158"/>
      <c r="N15" s="147"/>
      <c r="O15" s="670"/>
      <c r="P15" s="22"/>
      <c r="Q15" s="22"/>
      <c r="R15" s="22"/>
      <c r="S15" s="22"/>
      <c r="T15" s="22"/>
      <c r="U15" s="183"/>
      <c r="V15" s="183"/>
      <c r="W15" s="183"/>
      <c r="X15" s="214"/>
      <c r="Y15" s="214"/>
      <c r="Z15" s="214"/>
      <c r="AA15" s="214"/>
      <c r="AB15" s="214"/>
      <c r="AC15" s="214"/>
      <c r="AD15" s="214"/>
      <c r="AE15" s="214"/>
      <c r="AF15" s="214"/>
      <c r="AG15" s="214"/>
      <c r="AH15" s="199"/>
      <c r="AI15" s="206"/>
    </row>
    <row r="16" spans="1:35" ht="15.75" customHeight="1" thickBot="1">
      <c r="A16" s="669"/>
      <c r="C16" s="175"/>
      <c r="D16" s="507"/>
      <c r="E16" s="507"/>
      <c r="F16" s="507"/>
      <c r="G16" s="514"/>
      <c r="H16" s="524">
        <f>SUM(H10:H14)</f>
        <v>902.13749999999993</v>
      </c>
      <c r="L16" s="157"/>
      <c r="M16" s="158"/>
      <c r="N16" s="147"/>
      <c r="O16" s="670"/>
      <c r="P16" s="22"/>
      <c r="Q16" s="22"/>
      <c r="R16" s="22"/>
      <c r="S16" s="22"/>
      <c r="T16" s="22"/>
      <c r="U16" s="183"/>
      <c r="V16" s="183"/>
      <c r="W16" s="183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  <c r="AH16" s="199"/>
      <c r="AI16" s="206"/>
    </row>
    <row r="17" spans="1:38" ht="15.75" customHeight="1">
      <c r="A17" s="669"/>
      <c r="B17" s="166"/>
      <c r="C17" s="175"/>
      <c r="D17" s="508"/>
      <c r="E17" s="508"/>
      <c r="F17" s="508"/>
      <c r="G17" s="514"/>
      <c r="H17" s="525"/>
      <c r="I17" s="87"/>
      <c r="J17" s="20"/>
      <c r="K17" s="20"/>
      <c r="L17" s="157"/>
      <c r="M17" s="158"/>
      <c r="N17" s="147"/>
      <c r="O17" s="670"/>
      <c r="P17" s="22"/>
      <c r="Q17" s="22"/>
      <c r="R17" s="22"/>
      <c r="S17" s="22"/>
      <c r="T17" s="22"/>
      <c r="U17" s="183"/>
      <c r="V17" s="183"/>
      <c r="W17" s="183"/>
      <c r="X17" s="204"/>
      <c r="Y17" s="204"/>
      <c r="Z17" s="204"/>
      <c r="AA17" s="204"/>
      <c r="AB17" s="204"/>
      <c r="AC17" s="204"/>
      <c r="AD17" s="204"/>
      <c r="AE17" s="204"/>
      <c r="AF17" s="204"/>
      <c r="AG17" s="204"/>
      <c r="AH17" s="199"/>
      <c r="AI17" s="206"/>
    </row>
    <row r="18" spans="1:38" ht="15.75" customHeight="1">
      <c r="A18" s="669"/>
      <c r="B18" s="166" t="s">
        <v>114</v>
      </c>
      <c r="C18" s="175"/>
      <c r="D18" s="508"/>
      <c r="E18" s="508"/>
      <c r="F18" s="508"/>
      <c r="G18" s="514" t="s">
        <v>10</v>
      </c>
      <c r="H18" s="526">
        <f>H25</f>
        <v>5499.7509500000006</v>
      </c>
      <c r="I18" s="17"/>
      <c r="J18" s="20"/>
      <c r="L18" s="157"/>
      <c r="M18" s="158"/>
      <c r="N18" s="147"/>
      <c r="O18" s="670"/>
      <c r="P18" s="22"/>
      <c r="Q18" s="22"/>
      <c r="R18" s="22"/>
      <c r="S18" s="22"/>
      <c r="T18" s="22"/>
      <c r="U18" s="183"/>
      <c r="V18" s="183"/>
      <c r="W18" s="183"/>
      <c r="X18" s="204"/>
      <c r="Y18" s="204"/>
      <c r="Z18" s="204"/>
      <c r="AA18" s="204"/>
      <c r="AB18" s="204"/>
      <c r="AC18" s="204"/>
      <c r="AD18" s="204"/>
      <c r="AE18" s="204"/>
      <c r="AF18" s="204"/>
      <c r="AG18" s="204"/>
      <c r="AH18" s="199"/>
      <c r="AI18" s="206"/>
    </row>
    <row r="19" spans="1:38" ht="15.75" customHeight="1">
      <c r="A19" s="669"/>
      <c r="B19" s="166"/>
      <c r="C19" s="175"/>
      <c r="D19" s="502"/>
      <c r="E19" s="507">
        <f>H16</f>
        <v>902.13749999999993</v>
      </c>
      <c r="F19" s="507">
        <v>3</v>
      </c>
      <c r="G19" s="515"/>
      <c r="H19" s="523">
        <f>H7*F19</f>
        <v>5469.9372000000003</v>
      </c>
      <c r="I19" s="17"/>
      <c r="J19" s="20"/>
      <c r="K19" s="20"/>
      <c r="L19" s="157"/>
      <c r="M19" s="158"/>
      <c r="N19" s="147"/>
      <c r="O19" s="670"/>
      <c r="P19" s="22"/>
      <c r="Q19" s="22"/>
      <c r="R19" s="22"/>
      <c r="S19" s="22"/>
      <c r="T19" s="22"/>
      <c r="U19" s="183"/>
      <c r="V19" s="183"/>
      <c r="W19" s="183"/>
      <c r="X19" s="204"/>
      <c r="Y19" s="204"/>
      <c r="Z19" s="204"/>
      <c r="AA19" s="204"/>
      <c r="AB19" s="204"/>
      <c r="AC19" s="204"/>
      <c r="AD19" s="204"/>
      <c r="AE19" s="204"/>
      <c r="AF19" s="204"/>
      <c r="AG19" s="204"/>
      <c r="AH19" s="199"/>
      <c r="AI19" s="206"/>
    </row>
    <row r="20" spans="1:38" ht="15.75" customHeight="1">
      <c r="A20" s="669"/>
      <c r="B20" s="166"/>
      <c r="C20" s="175"/>
      <c r="D20" s="502"/>
      <c r="E20" s="507"/>
      <c r="F20" s="507"/>
      <c r="G20" s="565"/>
      <c r="H20" s="523">
        <f>H7*E20*F20</f>
        <v>0</v>
      </c>
      <c r="I20" s="17"/>
      <c r="J20" s="20"/>
      <c r="K20" s="20"/>
      <c r="L20" s="157"/>
      <c r="M20" s="158"/>
      <c r="N20" s="147"/>
      <c r="O20" s="670"/>
      <c r="P20" s="22"/>
      <c r="Q20" s="22"/>
      <c r="R20" s="22"/>
      <c r="S20" s="22"/>
      <c r="T20" s="22"/>
      <c r="U20" s="183"/>
      <c r="V20" s="183"/>
      <c r="W20" s="183"/>
      <c r="X20" s="204"/>
      <c r="Y20" s="204"/>
      <c r="Z20" s="204"/>
      <c r="AA20" s="204"/>
      <c r="AB20" s="204"/>
      <c r="AC20" s="204"/>
      <c r="AD20" s="204"/>
      <c r="AE20" s="204"/>
      <c r="AF20" s="204"/>
      <c r="AG20" s="204"/>
      <c r="AH20" s="199"/>
      <c r="AI20" s="206"/>
    </row>
    <row r="21" spans="1:38" ht="15.75" customHeight="1">
      <c r="A21" s="669"/>
      <c r="B21" s="166"/>
      <c r="C21" s="175" t="s">
        <v>115</v>
      </c>
      <c r="D21" s="502">
        <v>0.5</v>
      </c>
      <c r="E21" s="502">
        <f>ABS(H12)</f>
        <v>35.074999999999996</v>
      </c>
      <c r="F21" s="507">
        <v>1.7</v>
      </c>
      <c r="G21" s="33"/>
      <c r="H21" s="523">
        <f>E21*D21*F21</f>
        <v>29.813749999999995</v>
      </c>
      <c r="I21" s="17"/>
      <c r="J21" s="20"/>
      <c r="K21" s="20"/>
      <c r="L21" s="157"/>
      <c r="M21" s="158"/>
      <c r="N21" s="147"/>
      <c r="O21" s="670"/>
      <c r="P21" s="22"/>
      <c r="Q21" s="22"/>
      <c r="R21" s="22"/>
      <c r="S21" s="22"/>
      <c r="T21" s="22"/>
      <c r="U21" s="183"/>
      <c r="V21" s="183"/>
      <c r="W21" s="183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199"/>
      <c r="AI21" s="206"/>
    </row>
    <row r="22" spans="1:38" ht="15.75" customHeight="1">
      <c r="A22" s="669"/>
      <c r="B22" s="166"/>
      <c r="C22" s="175"/>
      <c r="D22" s="507"/>
      <c r="E22" s="507"/>
      <c r="F22" s="507"/>
      <c r="G22" s="255"/>
      <c r="H22" s="527">
        <f>D22*E22*F22</f>
        <v>0</v>
      </c>
      <c r="I22" s="17"/>
      <c r="J22" s="20"/>
      <c r="K22" s="20"/>
      <c r="L22" s="157"/>
      <c r="M22" s="158"/>
      <c r="N22" s="147"/>
      <c r="O22" s="670"/>
      <c r="P22" s="22"/>
      <c r="Q22" s="22"/>
      <c r="R22" s="22"/>
      <c r="S22" s="22"/>
      <c r="T22" s="22"/>
      <c r="U22" s="183"/>
      <c r="V22" s="183"/>
      <c r="W22" s="183"/>
      <c r="X22" s="204"/>
      <c r="Y22" s="204"/>
      <c r="Z22" s="204"/>
      <c r="AA22" s="204"/>
      <c r="AB22" s="204"/>
      <c r="AC22" s="204"/>
      <c r="AD22" s="204"/>
      <c r="AE22" s="204"/>
      <c r="AF22" s="204"/>
      <c r="AG22" s="204"/>
      <c r="AH22" s="199"/>
      <c r="AI22" s="206"/>
    </row>
    <row r="23" spans="1:38" ht="15.75" customHeight="1">
      <c r="A23" s="669"/>
      <c r="B23" s="166"/>
      <c r="C23" s="175"/>
      <c r="D23" s="507"/>
      <c r="E23" s="507"/>
      <c r="F23" s="507"/>
      <c r="G23" s="33"/>
      <c r="H23" s="527">
        <f>D23*E23*F23</f>
        <v>0</v>
      </c>
      <c r="I23" s="17"/>
      <c r="J23" s="20"/>
      <c r="K23" s="20"/>
      <c r="L23" s="157"/>
      <c r="M23" s="158"/>
      <c r="N23" s="147"/>
      <c r="O23" s="670"/>
      <c r="P23" s="22"/>
      <c r="Q23" s="22"/>
      <c r="R23" s="22"/>
      <c r="S23" s="22"/>
      <c r="T23" s="22"/>
      <c r="U23" s="183"/>
      <c r="V23" s="183"/>
      <c r="W23" s="183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199"/>
      <c r="AI23" s="206"/>
    </row>
    <row r="24" spans="1:38" ht="15.75" customHeight="1">
      <c r="A24" s="669"/>
      <c r="B24" s="166"/>
      <c r="C24" s="175"/>
      <c r="D24" s="507"/>
      <c r="E24" s="507"/>
      <c r="F24" s="507"/>
      <c r="G24" s="33"/>
      <c r="H24" s="527">
        <f>D24*E24*F24</f>
        <v>0</v>
      </c>
      <c r="I24" s="17"/>
      <c r="J24" s="20"/>
      <c r="K24" s="20"/>
      <c r="L24" s="157"/>
      <c r="M24" s="158"/>
      <c r="N24" s="147"/>
      <c r="O24" s="670"/>
      <c r="P24" s="22"/>
      <c r="Q24" s="22"/>
      <c r="R24" s="22"/>
      <c r="S24" s="22"/>
      <c r="T24" s="22"/>
      <c r="U24" s="183"/>
      <c r="V24" s="183"/>
      <c r="W24" s="183"/>
      <c r="X24" s="204"/>
      <c r="Y24" s="204"/>
      <c r="Z24" s="204"/>
      <c r="AA24" s="204"/>
      <c r="AB24" s="204"/>
      <c r="AC24" s="204"/>
      <c r="AD24" s="204"/>
      <c r="AE24" s="204"/>
      <c r="AF24" s="204"/>
      <c r="AG24" s="204"/>
      <c r="AH24" s="199"/>
      <c r="AI24" s="206"/>
    </row>
    <row r="25" spans="1:38" ht="15.75" customHeight="1" thickBot="1">
      <c r="A25" s="669"/>
      <c r="B25" s="166"/>
      <c r="C25" s="175"/>
      <c r="D25" s="502"/>
      <c r="E25" s="502"/>
      <c r="F25" s="502"/>
      <c r="G25" s="33"/>
      <c r="H25" s="524">
        <f>SUM(H19:H24)</f>
        <v>5499.7509500000006</v>
      </c>
      <c r="I25" s="17"/>
      <c r="J25" s="20"/>
      <c r="K25" s="20"/>
      <c r="L25" s="157"/>
      <c r="M25" s="158"/>
      <c r="N25" s="147"/>
      <c r="O25" s="670"/>
      <c r="P25" s="22"/>
      <c r="Q25" s="22"/>
      <c r="R25" s="22"/>
      <c r="S25" s="22"/>
      <c r="T25" s="22"/>
      <c r="U25" s="183"/>
      <c r="V25" s="183"/>
      <c r="W25" s="183"/>
      <c r="X25" s="204"/>
      <c r="Y25" s="204"/>
      <c r="Z25" s="204"/>
      <c r="AA25" s="204"/>
      <c r="AB25" s="204"/>
      <c r="AC25" s="204"/>
      <c r="AD25" s="204"/>
      <c r="AE25" s="204"/>
      <c r="AF25" s="204"/>
      <c r="AG25" s="204"/>
      <c r="AH25" s="199"/>
      <c r="AI25" s="206"/>
    </row>
    <row r="26" spans="1:38" ht="15.75" customHeight="1">
      <c r="A26" s="669"/>
      <c r="B26" s="166"/>
      <c r="C26" s="175"/>
      <c r="D26" s="502"/>
      <c r="E26" s="502"/>
      <c r="F26" s="502"/>
      <c r="G26" s="33"/>
      <c r="H26" s="581"/>
      <c r="I26" s="17"/>
      <c r="J26" s="20"/>
      <c r="K26" s="20"/>
      <c r="L26" s="157"/>
      <c r="M26" s="158"/>
      <c r="N26" s="147"/>
      <c r="O26" s="670"/>
      <c r="P26" s="22"/>
      <c r="Q26" s="22"/>
      <c r="R26" s="22"/>
      <c r="S26" s="22"/>
      <c r="T26" s="22"/>
      <c r="U26" s="183"/>
      <c r="V26" s="183"/>
      <c r="W26" s="183"/>
      <c r="X26" s="204"/>
      <c r="Y26" s="204"/>
      <c r="Z26" s="204"/>
      <c r="AA26" s="204"/>
      <c r="AB26" s="204"/>
      <c r="AC26" s="204"/>
      <c r="AD26" s="204"/>
      <c r="AE26" s="204"/>
      <c r="AF26" s="204"/>
      <c r="AG26" s="204"/>
      <c r="AH26" s="199"/>
      <c r="AI26" s="206"/>
    </row>
    <row r="27" spans="1:38" ht="15.75" customHeight="1" thickBot="1">
      <c r="A27" s="669"/>
      <c r="B27" s="166"/>
      <c r="C27" s="578" t="s">
        <v>116</v>
      </c>
      <c r="D27" s="579">
        <f>H18</f>
        <v>5499.7509500000006</v>
      </c>
      <c r="E27" s="579"/>
      <c r="F27" s="728">
        <v>1.7</v>
      </c>
      <c r="G27" s="580" t="s">
        <v>10</v>
      </c>
      <c r="H27" s="582" t="s">
        <v>117</v>
      </c>
      <c r="I27" s="17"/>
      <c r="J27" s="20"/>
      <c r="K27" s="20"/>
      <c r="L27" s="157"/>
      <c r="M27" s="158"/>
      <c r="N27" s="147"/>
      <c r="O27" s="670"/>
      <c r="P27" s="22"/>
      <c r="Q27" s="22"/>
      <c r="R27" s="22"/>
      <c r="S27" s="22"/>
      <c r="T27" s="22"/>
      <c r="U27" s="183"/>
      <c r="V27" s="183"/>
      <c r="W27" s="183"/>
      <c r="X27" s="204"/>
      <c r="Y27" s="204"/>
      <c r="Z27" s="204"/>
      <c r="AA27" s="204"/>
      <c r="AB27" s="204"/>
      <c r="AC27" s="204"/>
      <c r="AD27" s="204"/>
      <c r="AE27" s="204"/>
      <c r="AF27" s="204"/>
      <c r="AG27" s="204"/>
      <c r="AH27" s="199"/>
      <c r="AI27" s="206"/>
    </row>
    <row r="28" spans="1:38" ht="15.75" customHeight="1">
      <c r="A28" s="669"/>
      <c r="B28" s="166"/>
      <c r="C28" s="175"/>
      <c r="D28" s="508"/>
      <c r="E28" s="508"/>
      <c r="F28" s="508"/>
      <c r="G28" s="514"/>
      <c r="H28" s="525"/>
      <c r="I28" s="17"/>
      <c r="J28" s="20">
        <f>SUM(J11:J24)-J18</f>
        <v>0</v>
      </c>
      <c r="K28" s="20"/>
      <c r="L28" s="157"/>
      <c r="M28" s="158"/>
      <c r="N28" s="147"/>
      <c r="O28" s="670"/>
      <c r="P28" s="22"/>
      <c r="Q28" s="22"/>
      <c r="R28" s="22"/>
      <c r="S28" s="22"/>
      <c r="T28" s="22"/>
      <c r="U28" s="183"/>
      <c r="V28" s="183"/>
      <c r="W28" s="183"/>
      <c r="X28" s="204"/>
      <c r="Y28" s="204"/>
      <c r="Z28" s="204"/>
      <c r="AA28" s="204"/>
      <c r="AB28" s="204"/>
      <c r="AC28" s="204"/>
      <c r="AD28" s="204"/>
      <c r="AE28" s="204"/>
      <c r="AF28" s="204"/>
      <c r="AG28" s="204"/>
      <c r="AH28" s="199"/>
      <c r="AI28" s="206"/>
    </row>
    <row r="29" spans="1:38" ht="15.75" customHeight="1">
      <c r="A29" s="939" t="s">
        <v>118</v>
      </c>
      <c r="B29" s="940"/>
      <c r="C29" s="940"/>
      <c r="D29" s="940"/>
      <c r="E29" s="940"/>
      <c r="F29" s="941"/>
      <c r="G29" s="514" t="s">
        <v>10</v>
      </c>
      <c r="H29" s="525"/>
      <c r="I29" s="17"/>
      <c r="J29" s="20"/>
      <c r="K29" s="20"/>
      <c r="L29" s="157"/>
      <c r="M29" s="158"/>
      <c r="N29" s="147"/>
      <c r="O29" s="670"/>
      <c r="P29" s="22"/>
      <c r="Q29" s="22"/>
      <c r="R29" s="22"/>
      <c r="S29" s="22"/>
      <c r="T29" s="22"/>
      <c r="U29" s="183"/>
      <c r="V29" s="183"/>
      <c r="W29" s="183"/>
      <c r="X29" s="207"/>
      <c r="Y29" s="207"/>
      <c r="Z29" s="207"/>
      <c r="AA29" s="207"/>
      <c r="AB29" s="207"/>
      <c r="AC29" s="207"/>
      <c r="AD29" s="207"/>
      <c r="AE29" s="207"/>
      <c r="AF29" s="207"/>
      <c r="AG29" s="207"/>
      <c r="AH29" s="199"/>
      <c r="AI29" s="206"/>
      <c r="AK29" s="172"/>
      <c r="AL29" s="172"/>
    </row>
    <row r="30" spans="1:38">
      <c r="A30" s="935" t="s">
        <v>119</v>
      </c>
      <c r="B30" s="936"/>
      <c r="C30" s="936"/>
      <c r="D30" s="502">
        <v>0</v>
      </c>
      <c r="E30" s="483"/>
      <c r="F30" s="486">
        <v>0</v>
      </c>
      <c r="G30" s="33"/>
      <c r="H30" s="520">
        <v>35</v>
      </c>
      <c r="I30" s="17"/>
      <c r="J30" s="20"/>
      <c r="K30" s="20"/>
      <c r="L30" s="157">
        <v>30</v>
      </c>
      <c r="M30" s="158">
        <f t="shared" ref="M30:M35" si="1">H30*L30</f>
        <v>1050</v>
      </c>
      <c r="N30" s="147">
        <f t="shared" ref="N30:N35" si="2">L30*1.5</f>
        <v>45</v>
      </c>
      <c r="O30" s="670">
        <f t="shared" ref="O30:O35" si="3">N30*H30</f>
        <v>1575</v>
      </c>
      <c r="P30" s="22"/>
      <c r="Q30" s="22"/>
      <c r="R30" s="22"/>
      <c r="S30" s="22"/>
      <c r="T30" s="22"/>
      <c r="U30" s="183"/>
      <c r="V30" s="183"/>
      <c r="W30" s="183"/>
      <c r="X30" s="208"/>
      <c r="Y30" s="208"/>
      <c r="Z30" s="208"/>
      <c r="AA30" s="208"/>
      <c r="AB30" s="208"/>
      <c r="AC30" s="208"/>
      <c r="AD30" s="204"/>
      <c r="AE30" s="204"/>
      <c r="AF30" s="204"/>
      <c r="AG30" s="204"/>
      <c r="AH30" s="199"/>
      <c r="AI30" s="206"/>
      <c r="AK30" s="172"/>
      <c r="AL30" s="172"/>
    </row>
    <row r="31" spans="1:38" ht="17.7" customHeight="1">
      <c r="A31" s="935" t="s">
        <v>120</v>
      </c>
      <c r="B31" s="936"/>
      <c r="C31" s="936"/>
      <c r="D31" s="502"/>
      <c r="E31" s="483"/>
      <c r="F31" s="487">
        <v>0.5</v>
      </c>
      <c r="G31" s="33"/>
      <c r="H31" s="520">
        <v>25</v>
      </c>
      <c r="I31" s="17"/>
      <c r="J31" s="20"/>
      <c r="K31" s="20"/>
      <c r="L31" s="157">
        <v>25</v>
      </c>
      <c r="M31" s="158">
        <f t="shared" si="1"/>
        <v>625</v>
      </c>
      <c r="N31" s="147">
        <f t="shared" si="2"/>
        <v>37.5</v>
      </c>
      <c r="O31" s="670">
        <f t="shared" si="3"/>
        <v>937.5</v>
      </c>
      <c r="P31" s="22"/>
      <c r="Q31" s="22"/>
      <c r="R31" s="22"/>
      <c r="S31" s="22"/>
      <c r="T31" s="22"/>
      <c r="U31" s="183"/>
      <c r="V31" s="183"/>
      <c r="W31" s="183"/>
      <c r="X31" s="204"/>
      <c r="Y31" s="204"/>
      <c r="Z31" s="204"/>
      <c r="AA31" s="204"/>
      <c r="AB31" s="204"/>
      <c r="AC31" s="204"/>
      <c r="AD31" s="204"/>
      <c r="AE31" s="204"/>
      <c r="AF31" s="204"/>
      <c r="AG31" s="204"/>
      <c r="AH31" s="199"/>
      <c r="AI31" s="206"/>
      <c r="AK31" s="172"/>
      <c r="AL31" s="172"/>
    </row>
    <row r="32" spans="1:38" ht="17.7" customHeight="1">
      <c r="A32" s="674"/>
      <c r="B32" s="84"/>
      <c r="C32" s="84" t="s">
        <v>121</v>
      </c>
      <c r="G32" s="33"/>
      <c r="H32" s="520">
        <v>1955</v>
      </c>
      <c r="I32" s="17"/>
      <c r="J32" s="20"/>
      <c r="K32" s="20"/>
      <c r="L32" s="157">
        <v>25</v>
      </c>
      <c r="M32" s="158">
        <f t="shared" si="1"/>
        <v>48875</v>
      </c>
      <c r="N32" s="147">
        <f t="shared" si="2"/>
        <v>37.5</v>
      </c>
      <c r="O32" s="670">
        <f t="shared" si="3"/>
        <v>73312.5</v>
      </c>
      <c r="P32" s="22"/>
      <c r="Q32" s="22"/>
      <c r="R32" s="22"/>
      <c r="S32" s="22"/>
      <c r="T32" s="22"/>
      <c r="U32" s="183"/>
      <c r="V32" s="183"/>
      <c r="W32" s="183"/>
      <c r="X32" s="204"/>
      <c r="Y32" s="204"/>
      <c r="Z32" s="204"/>
      <c r="AA32" s="204"/>
      <c r="AB32" s="204"/>
      <c r="AC32" s="204"/>
      <c r="AD32" s="204"/>
      <c r="AE32" s="204"/>
      <c r="AF32" s="204"/>
      <c r="AG32" s="204"/>
      <c r="AH32" s="199"/>
      <c r="AI32" s="206"/>
      <c r="AK32" s="172"/>
      <c r="AL32" s="172"/>
    </row>
    <row r="33" spans="1:38" ht="15.45" customHeight="1">
      <c r="B33" s="84"/>
      <c r="C33" s="84" t="s">
        <v>122</v>
      </c>
      <c r="D33" s="502">
        <f>H7</f>
        <v>1823.3124</v>
      </c>
      <c r="E33" s="483">
        <v>1.5</v>
      </c>
      <c r="F33" s="487">
        <v>1.3</v>
      </c>
      <c r="G33" s="33"/>
      <c r="H33" s="520">
        <f>D33*E33*F33</f>
        <v>3555.4591800000003</v>
      </c>
      <c r="I33" s="17"/>
      <c r="J33" s="20"/>
      <c r="K33" s="20"/>
      <c r="L33" s="157">
        <v>20</v>
      </c>
      <c r="M33" s="158">
        <f t="shared" si="1"/>
        <v>71109.183600000004</v>
      </c>
      <c r="N33" s="147">
        <f t="shared" si="2"/>
        <v>30</v>
      </c>
      <c r="O33" s="670">
        <f t="shared" si="3"/>
        <v>106663.77540000001</v>
      </c>
      <c r="P33" s="22"/>
      <c r="Q33" s="22"/>
      <c r="R33" s="22"/>
      <c r="S33" s="22"/>
      <c r="T33" s="22"/>
      <c r="U33" s="183"/>
      <c r="V33" s="183"/>
      <c r="W33" s="183"/>
      <c r="X33" s="204"/>
      <c r="Y33" s="204"/>
      <c r="Z33" s="204"/>
      <c r="AA33" s="204"/>
      <c r="AB33" s="204"/>
      <c r="AC33" s="204"/>
      <c r="AD33" s="204"/>
      <c r="AE33" s="204"/>
      <c r="AF33" s="204"/>
      <c r="AG33" s="204"/>
      <c r="AH33" s="199"/>
      <c r="AI33" s="206"/>
      <c r="AK33" s="172"/>
      <c r="AL33" s="172"/>
    </row>
    <row r="34" spans="1:38">
      <c r="A34" s="935" t="s">
        <v>123</v>
      </c>
      <c r="B34" s="936"/>
      <c r="C34" s="936"/>
      <c r="D34" s="502"/>
      <c r="E34" s="483"/>
      <c r="F34" s="487"/>
      <c r="G34" s="33"/>
      <c r="H34" s="523">
        <v>125</v>
      </c>
      <c r="I34" s="17"/>
      <c r="J34" s="20"/>
      <c r="K34" s="20"/>
      <c r="L34" s="157">
        <v>25</v>
      </c>
      <c r="M34" s="158">
        <f t="shared" si="1"/>
        <v>3125</v>
      </c>
      <c r="N34" s="147">
        <f t="shared" si="2"/>
        <v>37.5</v>
      </c>
      <c r="O34" s="670">
        <f t="shared" si="3"/>
        <v>4687.5</v>
      </c>
      <c r="P34" s="22"/>
      <c r="Q34" s="22"/>
      <c r="R34" s="22"/>
      <c r="S34" s="22"/>
      <c r="T34" s="22"/>
      <c r="U34" s="183"/>
      <c r="V34" s="183"/>
      <c r="W34" s="183"/>
      <c r="X34" s="204"/>
      <c r="Y34" s="204"/>
      <c r="Z34" s="204"/>
      <c r="AA34" s="204"/>
      <c r="AB34" s="204"/>
      <c r="AC34" s="204"/>
      <c r="AD34" s="204"/>
      <c r="AE34" s="204"/>
      <c r="AF34" s="204"/>
      <c r="AG34" s="204"/>
      <c r="AH34" s="199"/>
      <c r="AI34" s="206"/>
      <c r="AK34" s="172"/>
      <c r="AL34" s="172"/>
    </row>
    <row r="35" spans="1:38" ht="15.45" customHeight="1">
      <c r="D35" s="502">
        <v>0</v>
      </c>
      <c r="E35" s="483"/>
      <c r="F35" s="486">
        <v>0</v>
      </c>
      <c r="G35" s="33"/>
      <c r="H35" s="520"/>
      <c r="I35" s="17"/>
      <c r="J35" s="20"/>
      <c r="K35" s="20"/>
      <c r="L35" s="157">
        <v>9</v>
      </c>
      <c r="M35" s="158">
        <f t="shared" si="1"/>
        <v>0</v>
      </c>
      <c r="N35" s="147">
        <f t="shared" si="2"/>
        <v>13.5</v>
      </c>
      <c r="O35" s="670">
        <f t="shared" si="3"/>
        <v>0</v>
      </c>
      <c r="P35" s="22"/>
      <c r="Q35" s="22"/>
      <c r="R35" s="22"/>
      <c r="S35" s="22"/>
      <c r="T35" s="22"/>
      <c r="U35" s="183"/>
      <c r="V35" s="183"/>
      <c r="W35" s="183"/>
      <c r="X35" s="215"/>
      <c r="Y35" s="215"/>
      <c r="Z35" s="215"/>
      <c r="AA35" s="215"/>
      <c r="AB35" s="215"/>
      <c r="AC35" s="215"/>
      <c r="AD35" s="215"/>
      <c r="AE35" s="215"/>
      <c r="AF35" s="215"/>
      <c r="AG35" s="215"/>
      <c r="AH35" s="199"/>
      <c r="AI35" s="206"/>
      <c r="AK35" s="172"/>
      <c r="AL35" s="80"/>
    </row>
    <row r="36" spans="1:38" ht="15.45" customHeight="1">
      <c r="A36" s="674"/>
      <c r="B36" s="84"/>
      <c r="C36" s="84"/>
      <c r="D36" s="502"/>
      <c r="E36" s="483"/>
      <c r="F36" s="486"/>
      <c r="G36" s="33"/>
      <c r="H36" s="520"/>
      <c r="I36" s="17"/>
      <c r="J36" s="20"/>
      <c r="K36" s="20"/>
      <c r="L36" s="157"/>
      <c r="M36" s="158"/>
      <c r="N36" s="147"/>
      <c r="O36" s="670"/>
      <c r="P36" s="22"/>
      <c r="Q36" s="22"/>
      <c r="R36" s="22"/>
      <c r="S36" s="22"/>
      <c r="T36" s="22"/>
      <c r="U36" s="183"/>
      <c r="V36" s="183"/>
      <c r="W36" s="183"/>
      <c r="X36" s="215"/>
      <c r="Y36" s="215"/>
      <c r="Z36" s="215"/>
      <c r="AA36" s="215"/>
      <c r="AB36" s="215"/>
      <c r="AC36" s="215"/>
      <c r="AD36" s="215"/>
      <c r="AE36" s="215"/>
      <c r="AF36" s="215"/>
      <c r="AG36" s="215"/>
      <c r="AH36" s="199"/>
      <c r="AI36" s="206"/>
      <c r="AK36" s="172"/>
      <c r="AL36" s="80"/>
    </row>
    <row r="37" spans="1:38">
      <c r="A37" s="669"/>
      <c r="B37" s="166" t="s">
        <v>124</v>
      </c>
      <c r="D37" s="502"/>
      <c r="E37" s="483"/>
      <c r="F37" s="486"/>
      <c r="G37" s="33"/>
      <c r="H37" s="520"/>
      <c r="I37" s="17"/>
      <c r="J37" s="20"/>
      <c r="K37" s="20"/>
      <c r="L37" s="157"/>
      <c r="M37" s="158"/>
      <c r="N37" s="147"/>
      <c r="O37" s="670"/>
      <c r="P37" s="22"/>
      <c r="Q37" s="22"/>
      <c r="R37" s="22"/>
      <c r="S37" s="22"/>
      <c r="T37" s="22"/>
      <c r="U37" s="32"/>
      <c r="V37" s="183"/>
      <c r="W37" s="209"/>
      <c r="X37" s="204"/>
      <c r="Y37" s="204"/>
      <c r="Z37" s="205"/>
      <c r="AA37" s="205"/>
      <c r="AB37" s="204"/>
      <c r="AC37" s="204"/>
      <c r="AD37" s="204"/>
      <c r="AE37" s="204"/>
      <c r="AF37" s="204"/>
      <c r="AG37" s="204"/>
      <c r="AH37" s="199"/>
      <c r="AI37" s="206"/>
      <c r="AK37" s="80"/>
      <c r="AL37" s="80"/>
    </row>
    <row r="38" spans="1:38" ht="19.95" customHeight="1">
      <c r="A38" s="669"/>
      <c r="B38" s="130"/>
      <c r="C38" s="84" t="s">
        <v>125</v>
      </c>
      <c r="D38" s="494"/>
      <c r="E38" s="494"/>
      <c r="F38" s="486" t="s">
        <v>126</v>
      </c>
      <c r="G38" s="33"/>
      <c r="H38" s="707">
        <v>2</v>
      </c>
      <c r="I38" s="17"/>
      <c r="J38" s="20"/>
      <c r="K38" s="20"/>
      <c r="L38" s="157">
        <v>650</v>
      </c>
      <c r="M38" s="158">
        <f>L38*H38</f>
        <v>1300</v>
      </c>
      <c r="N38" s="147">
        <f>L38*1.5</f>
        <v>975</v>
      </c>
      <c r="O38" s="670">
        <f>N38*H38</f>
        <v>1950</v>
      </c>
      <c r="P38" s="22"/>
      <c r="Q38" s="22"/>
      <c r="R38" s="22"/>
      <c r="S38" s="22"/>
      <c r="T38" s="22"/>
      <c r="U38" s="32"/>
      <c r="V38" s="192"/>
      <c r="W38" s="321"/>
      <c r="X38" s="322"/>
      <c r="Y38" s="322"/>
      <c r="Z38" s="322"/>
      <c r="AA38" s="322"/>
      <c r="AB38" s="322"/>
      <c r="AC38" s="322"/>
      <c r="AD38" s="322"/>
      <c r="AE38" s="322"/>
      <c r="AF38" s="322"/>
      <c r="AG38" s="322"/>
      <c r="AH38" s="323"/>
      <c r="AI38" s="206"/>
      <c r="AK38" s="80"/>
      <c r="AL38" s="172"/>
    </row>
    <row r="39" spans="1:38" ht="17.25" customHeight="1">
      <c r="A39" s="669"/>
      <c r="B39" s="130"/>
      <c r="C39" s="84"/>
      <c r="D39" s="494"/>
      <c r="E39" s="494"/>
      <c r="F39" s="486"/>
      <c r="G39" s="297"/>
      <c r="H39" s="520"/>
      <c r="I39" s="17"/>
      <c r="J39" s="20"/>
      <c r="K39" s="20"/>
      <c r="L39" s="157"/>
      <c r="M39" s="158"/>
      <c r="N39" s="147"/>
      <c r="O39" s="670"/>
      <c r="P39" s="22"/>
      <c r="Q39" s="22"/>
      <c r="R39" s="22"/>
      <c r="S39" s="22"/>
      <c r="T39" s="22"/>
      <c r="U39" s="467"/>
      <c r="V39" s="624"/>
      <c r="W39" s="624"/>
      <c r="X39" s="214"/>
      <c r="Y39" s="214"/>
      <c r="Z39" s="214"/>
      <c r="AA39" s="214"/>
      <c r="AB39" s="214"/>
      <c r="AC39" s="214"/>
      <c r="AD39" s="214"/>
      <c r="AE39" s="214"/>
      <c r="AF39" s="214"/>
      <c r="AG39" s="214"/>
      <c r="AH39" s="192"/>
      <c r="AI39" s="206"/>
      <c r="AK39" s="172"/>
      <c r="AL39" s="172"/>
    </row>
    <row r="40" spans="1:38">
      <c r="A40" s="669"/>
      <c r="B40" s="130"/>
      <c r="C40" s="84" t="s">
        <v>127</v>
      </c>
      <c r="D40" s="503">
        <v>600</v>
      </c>
      <c r="E40" s="494"/>
      <c r="G40" s="557" t="s">
        <v>128</v>
      </c>
      <c r="H40" s="510">
        <v>14</v>
      </c>
      <c r="I40" s="17"/>
      <c r="J40" s="20"/>
      <c r="K40" s="20"/>
      <c r="L40" s="157"/>
      <c r="M40" s="158"/>
      <c r="N40" s="147"/>
      <c r="O40" s="670"/>
      <c r="P40" s="22"/>
      <c r="Q40" s="22"/>
      <c r="R40" s="22"/>
      <c r="S40" s="22"/>
      <c r="T40" s="22"/>
      <c r="U40" s="467"/>
      <c r="V40" s="624"/>
      <c r="W40" s="624"/>
      <c r="X40" s="214"/>
      <c r="Y40" s="214"/>
      <c r="Z40" s="214"/>
      <c r="AA40" s="214"/>
      <c r="AB40" s="214"/>
      <c r="AC40" s="214"/>
      <c r="AD40" s="214"/>
      <c r="AE40" s="214"/>
      <c r="AF40" s="214"/>
      <c r="AG40" s="214"/>
      <c r="AH40" s="199"/>
      <c r="AI40" s="206"/>
      <c r="AK40" s="172"/>
      <c r="AL40" s="172"/>
    </row>
    <row r="41" spans="1:38">
      <c r="A41" s="669"/>
      <c r="B41" s="130"/>
      <c r="C41" s="84"/>
      <c r="E41" s="494"/>
      <c r="G41" s="557" t="s">
        <v>129</v>
      </c>
      <c r="H41" s="709">
        <v>5</v>
      </c>
      <c r="I41" s="17"/>
      <c r="J41" s="20"/>
      <c r="K41" s="20"/>
      <c r="L41" s="157">
        <v>1111.57</v>
      </c>
      <c r="M41" s="158">
        <f>L41*H41</f>
        <v>5557.8499999999995</v>
      </c>
      <c r="N41" s="147"/>
      <c r="O41" s="670"/>
      <c r="P41" s="22"/>
      <c r="Q41" s="22"/>
      <c r="R41" s="22"/>
      <c r="S41" s="22"/>
      <c r="T41" s="22"/>
      <c r="U41" s="467"/>
      <c r="V41" s="624"/>
      <c r="W41" s="624"/>
      <c r="X41" s="214"/>
      <c r="Y41" s="214"/>
      <c r="Z41" s="214"/>
      <c r="AA41" s="214"/>
      <c r="AB41" s="214"/>
      <c r="AC41" s="214"/>
      <c r="AD41" s="214"/>
      <c r="AE41" s="214"/>
      <c r="AF41" s="214"/>
      <c r="AG41" s="214"/>
      <c r="AH41" s="324"/>
      <c r="AI41" s="206"/>
    </row>
    <row r="42" spans="1:38">
      <c r="A42" s="669"/>
      <c r="B42" s="130"/>
      <c r="C42" s="84"/>
      <c r="E42" s="494"/>
      <c r="F42" s="486"/>
      <c r="G42" s="560"/>
      <c r="H42" s="520"/>
      <c r="I42" s="17"/>
      <c r="J42" s="20"/>
      <c r="K42" s="20"/>
      <c r="L42" s="157"/>
      <c r="M42" s="158"/>
      <c r="N42" s="147"/>
      <c r="O42" s="670"/>
      <c r="P42" s="22"/>
      <c r="Q42" s="22"/>
      <c r="R42" s="22"/>
      <c r="S42" s="22"/>
      <c r="T42" s="22"/>
      <c r="U42" s="467"/>
      <c r="V42" s="624"/>
      <c r="W42" s="624"/>
      <c r="X42" s="214"/>
      <c r="Y42" s="214"/>
      <c r="Z42" s="214"/>
      <c r="AA42" s="214"/>
      <c r="AB42" s="214"/>
      <c r="AC42" s="214"/>
      <c r="AD42" s="214"/>
      <c r="AE42" s="214"/>
      <c r="AF42" s="214"/>
      <c r="AG42" s="214"/>
      <c r="AH42" s="324"/>
      <c r="AI42" s="206"/>
    </row>
    <row r="43" spans="1:38">
      <c r="A43" s="669"/>
      <c r="C43" s="84" t="s">
        <v>130</v>
      </c>
      <c r="D43" s="494"/>
      <c r="E43" s="494"/>
      <c r="F43" s="486"/>
      <c r="G43" s="33"/>
      <c r="H43" s="520"/>
      <c r="I43" s="17"/>
      <c r="J43" s="20"/>
      <c r="K43" s="20"/>
      <c r="L43" s="157"/>
      <c r="M43" s="158"/>
      <c r="N43" s="147"/>
      <c r="O43" s="670"/>
      <c r="P43" s="22"/>
      <c r="Q43" s="22"/>
      <c r="R43" s="22"/>
      <c r="S43" s="22"/>
      <c r="T43" s="22"/>
      <c r="U43" s="467"/>
      <c r="V43" s="624"/>
      <c r="W43" s="624"/>
      <c r="X43" s="214"/>
      <c r="Y43" s="214"/>
      <c r="Z43" s="214"/>
      <c r="AA43" s="214"/>
      <c r="AB43" s="214"/>
      <c r="AC43" s="214"/>
      <c r="AD43" s="214"/>
      <c r="AE43" s="214"/>
      <c r="AF43" s="214"/>
      <c r="AG43" s="214"/>
      <c r="AH43" s="325"/>
      <c r="AI43" s="206"/>
    </row>
    <row r="44" spans="1:38" ht="15.45" customHeight="1">
      <c r="A44" s="669"/>
      <c r="B44" s="130"/>
      <c r="C44" s="84" t="s">
        <v>131</v>
      </c>
      <c r="D44" s="494">
        <v>8</v>
      </c>
      <c r="E44" s="494"/>
      <c r="F44" s="486">
        <f>H41</f>
        <v>5</v>
      </c>
      <c r="G44" s="33" t="s">
        <v>132</v>
      </c>
      <c r="H44" s="958">
        <f>D44*F44</f>
        <v>40</v>
      </c>
      <c r="I44" s="17"/>
      <c r="J44" s="20"/>
      <c r="K44" s="20"/>
      <c r="L44" s="157">
        <v>100</v>
      </c>
      <c r="M44" s="158">
        <f>H44*L44</f>
        <v>4000</v>
      </c>
      <c r="N44" s="147">
        <f>L44*1.5</f>
        <v>150</v>
      </c>
      <c r="O44" s="670">
        <f>H44*N44</f>
        <v>6000</v>
      </c>
      <c r="P44" s="22"/>
      <c r="Q44" s="22"/>
      <c r="R44" s="22"/>
      <c r="S44" s="22"/>
      <c r="T44" s="22"/>
      <c r="U44" s="467"/>
      <c r="V44" s="624"/>
      <c r="W44" s="624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4"/>
      <c r="AI44" s="183"/>
    </row>
    <row r="45" spans="1:38" ht="16.5" customHeight="1">
      <c r="A45" s="669"/>
      <c r="B45" s="130"/>
      <c r="C45" s="84" t="s">
        <v>133</v>
      </c>
      <c r="D45" s="494">
        <v>8</v>
      </c>
      <c r="E45" s="494"/>
      <c r="F45" s="486">
        <v>0</v>
      </c>
      <c r="H45" s="510">
        <v>40</v>
      </c>
      <c r="I45" s="17"/>
      <c r="J45" s="20"/>
      <c r="K45" s="20"/>
      <c r="L45" s="157">
        <v>115</v>
      </c>
      <c r="M45" s="158">
        <f>H45*L45</f>
        <v>4600</v>
      </c>
      <c r="N45" s="147">
        <f>L45*1.5</f>
        <v>172.5</v>
      </c>
      <c r="O45" s="670">
        <f>H45*N45</f>
        <v>6900</v>
      </c>
      <c r="P45" s="22"/>
      <c r="Q45" s="22"/>
      <c r="R45" s="22"/>
      <c r="S45" s="22"/>
      <c r="T45" s="22"/>
      <c r="U45" s="467"/>
      <c r="V45" s="624"/>
      <c r="W45" s="624"/>
      <c r="X45" s="322"/>
      <c r="Y45" s="322"/>
      <c r="Z45" s="322"/>
      <c r="AA45" s="322"/>
      <c r="AB45" s="322"/>
      <c r="AC45" s="322"/>
      <c r="AD45" s="322"/>
      <c r="AE45" s="322"/>
      <c r="AF45" s="322"/>
      <c r="AG45" s="322"/>
      <c r="AH45" s="183"/>
      <c r="AI45" s="206"/>
    </row>
    <row r="46" spans="1:38" ht="16.5" customHeight="1">
      <c r="A46" s="669"/>
      <c r="B46" s="130"/>
      <c r="C46" s="84"/>
      <c r="D46" s="494"/>
      <c r="E46" s="494"/>
      <c r="F46" s="486"/>
      <c r="G46" s="510"/>
      <c r="H46" s="520"/>
      <c r="I46" s="17"/>
      <c r="J46" s="20"/>
      <c r="K46" s="20"/>
      <c r="L46" s="157"/>
      <c r="M46" s="158"/>
      <c r="N46" s="147"/>
      <c r="O46" s="670"/>
      <c r="P46" s="22"/>
      <c r="Q46" s="22"/>
      <c r="R46" s="22"/>
      <c r="S46" s="22"/>
      <c r="T46" s="22"/>
      <c r="U46" s="467"/>
      <c r="V46" s="624"/>
      <c r="W46" s="624"/>
      <c r="X46" s="322"/>
      <c r="Y46" s="322"/>
      <c r="Z46" s="322"/>
      <c r="AA46" s="322"/>
      <c r="AB46" s="322"/>
      <c r="AC46" s="322"/>
      <c r="AD46" s="322"/>
      <c r="AE46" s="322"/>
      <c r="AF46" s="322"/>
      <c r="AG46" s="322"/>
      <c r="AH46" s="183"/>
      <c r="AI46" s="206"/>
    </row>
    <row r="47" spans="1:38">
      <c r="A47" s="669"/>
      <c r="B47" s="166" t="s">
        <v>134</v>
      </c>
      <c r="C47" s="84"/>
      <c r="D47" s="483" t="s">
        <v>135</v>
      </c>
      <c r="E47" s="483" t="s">
        <v>136</v>
      </c>
      <c r="F47" s="483" t="s">
        <v>137</v>
      </c>
      <c r="G47" s="510" t="s">
        <v>138</v>
      </c>
      <c r="H47" s="520"/>
      <c r="I47" s="17"/>
      <c r="J47" s="20"/>
      <c r="K47" s="20"/>
      <c r="L47" s="157"/>
      <c r="M47" s="158"/>
      <c r="N47" s="147"/>
      <c r="O47" s="670"/>
      <c r="P47" s="22"/>
      <c r="Q47" s="22"/>
      <c r="R47" s="22"/>
      <c r="S47" s="22"/>
      <c r="T47" s="22"/>
      <c r="U47" s="467"/>
      <c r="V47" s="624"/>
      <c r="W47" s="624"/>
      <c r="X47" s="322"/>
      <c r="Y47" s="322"/>
      <c r="Z47" s="322"/>
      <c r="AA47" s="322"/>
      <c r="AB47" s="322"/>
      <c r="AC47" s="322"/>
      <c r="AD47" s="322"/>
      <c r="AE47" s="322"/>
      <c r="AF47" s="322"/>
      <c r="AG47" s="322"/>
      <c r="AH47" s="183"/>
      <c r="AI47" s="206"/>
    </row>
    <row r="48" spans="1:38">
      <c r="A48" s="669"/>
      <c r="B48" s="130"/>
      <c r="C48" s="84" t="s">
        <v>139</v>
      </c>
      <c r="D48" s="708">
        <v>1</v>
      </c>
      <c r="E48" s="583">
        <v>8</v>
      </c>
      <c r="F48" s="481">
        <f>H41</f>
        <v>5</v>
      </c>
      <c r="G48" s="584">
        <f>D48*E48*F48</f>
        <v>40</v>
      </c>
      <c r="H48" s="520"/>
      <c r="I48" s="17"/>
      <c r="J48" s="20"/>
      <c r="K48" s="20"/>
      <c r="L48" s="157">
        <v>65</v>
      </c>
      <c r="M48" s="158">
        <f>G48*L48</f>
        <v>2600</v>
      </c>
      <c r="N48" s="147">
        <f>L48*1.5</f>
        <v>97.5</v>
      </c>
      <c r="O48" s="670">
        <f>G48*N48</f>
        <v>3900</v>
      </c>
      <c r="P48" s="22"/>
      <c r="Q48" s="22"/>
      <c r="R48" s="22"/>
      <c r="S48" s="22"/>
      <c r="T48" s="22"/>
      <c r="U48" s="467"/>
      <c r="V48" s="624"/>
      <c r="W48" s="624"/>
      <c r="X48" s="322"/>
      <c r="Y48" s="322"/>
      <c r="Z48" s="322"/>
      <c r="AA48" s="322"/>
      <c r="AB48" s="322"/>
      <c r="AC48" s="322"/>
      <c r="AD48" s="322"/>
      <c r="AE48" s="322"/>
      <c r="AF48" s="322"/>
      <c r="AG48" s="322"/>
      <c r="AH48" s="183"/>
      <c r="AI48" s="206"/>
    </row>
    <row r="49" spans="1:35" ht="16.2" thickBot="1">
      <c r="A49" s="669"/>
      <c r="B49" s="130"/>
      <c r="C49" s="24"/>
      <c r="D49" s="483"/>
      <c r="E49" s="483"/>
      <c r="F49" s="483"/>
      <c r="G49" s="33"/>
      <c r="H49" s="520"/>
      <c r="I49" s="17"/>
      <c r="J49" s="20"/>
      <c r="K49" s="20"/>
      <c r="L49" s="161"/>
      <c r="M49" s="158"/>
      <c r="N49" s="151"/>
      <c r="O49" s="670"/>
      <c r="P49" s="178"/>
      <c r="Q49" s="178"/>
      <c r="R49" s="178"/>
      <c r="S49" s="22"/>
      <c r="T49" s="22"/>
      <c r="U49" s="467"/>
      <c r="V49" s="624"/>
      <c r="W49" s="624"/>
      <c r="X49" s="326"/>
      <c r="Y49" s="326"/>
      <c r="Z49" s="326"/>
      <c r="AA49" s="326"/>
      <c r="AB49" s="326"/>
      <c r="AC49" s="326"/>
      <c r="AD49" s="326"/>
      <c r="AE49" s="326"/>
      <c r="AF49" s="326"/>
      <c r="AG49" s="326"/>
      <c r="AH49" s="183"/>
      <c r="AI49" s="206"/>
    </row>
    <row r="50" spans="1:35" ht="15.45" customHeight="1" thickBot="1">
      <c r="A50" s="644"/>
      <c r="B50" s="645"/>
      <c r="C50" s="646"/>
      <c r="D50" s="647"/>
      <c r="E50" s="647"/>
      <c r="F50" s="647"/>
      <c r="G50" s="648"/>
      <c r="H50" s="649"/>
      <c r="I50" s="650"/>
      <c r="J50" s="651"/>
      <c r="K50" s="651"/>
      <c r="L50" s="652" t="s">
        <v>140</v>
      </c>
      <c r="M50" s="652">
        <f>SUM(M5:M49)</f>
        <v>142842.0336</v>
      </c>
      <c r="N50" s="653" t="s">
        <v>140</v>
      </c>
      <c r="O50" s="654">
        <f>SUM(O5:O49)</f>
        <v>205926.27540000001</v>
      </c>
      <c r="P50" s="22"/>
      <c r="Q50" s="22"/>
      <c r="R50" s="22"/>
      <c r="S50" s="22"/>
      <c r="T50" s="22"/>
      <c r="U50" s="467"/>
      <c r="V50" s="183"/>
      <c r="W50" s="183"/>
      <c r="X50" s="214"/>
      <c r="Y50" s="214"/>
      <c r="Z50" s="214"/>
      <c r="AA50" s="214"/>
      <c r="AB50" s="214"/>
      <c r="AC50" s="214"/>
      <c r="AD50" s="214"/>
      <c r="AE50" s="214"/>
      <c r="AF50" s="214"/>
      <c r="AG50" s="214"/>
      <c r="AH50" s="325"/>
      <c r="AI50" s="206"/>
    </row>
    <row r="51" spans="1:35">
      <c r="A51" t="s">
        <v>141</v>
      </c>
    </row>
    <row r="52" spans="1:35">
      <c r="A52" s="729" t="s">
        <v>142</v>
      </c>
      <c r="B52" s="729"/>
      <c r="C52" s="729"/>
      <c r="D52" s="729"/>
      <c r="E52" s="729"/>
      <c r="F52" s="729"/>
      <c r="G52" s="729"/>
      <c r="H52" s="729"/>
      <c r="I52" s="729"/>
      <c r="J52" s="729"/>
      <c r="K52" s="729"/>
      <c r="L52" s="729"/>
      <c r="M52" s="729"/>
      <c r="N52" s="729"/>
      <c r="O52" s="729"/>
    </row>
    <row r="53" spans="1:35">
      <c r="A53" s="729"/>
      <c r="B53" s="729"/>
      <c r="C53" s="729"/>
      <c r="D53" s="729"/>
      <c r="E53" s="729"/>
      <c r="F53" s="729"/>
      <c r="G53" s="729"/>
      <c r="H53" s="729"/>
      <c r="I53" s="729"/>
      <c r="J53" s="729"/>
      <c r="K53" s="729"/>
      <c r="L53" s="729"/>
      <c r="M53" s="729"/>
      <c r="N53" s="729"/>
      <c r="O53" s="729"/>
    </row>
    <row r="54" spans="1:35">
      <c r="A54" s="729"/>
      <c r="B54" s="729"/>
      <c r="C54" s="729"/>
      <c r="D54" s="729"/>
      <c r="E54" s="729"/>
      <c r="F54" s="729"/>
      <c r="G54" s="729"/>
      <c r="H54" s="729"/>
      <c r="I54" s="729"/>
      <c r="J54" s="729"/>
      <c r="K54" s="729"/>
      <c r="L54" s="729"/>
      <c r="M54" s="729"/>
      <c r="N54" s="729"/>
      <c r="O54" s="729"/>
    </row>
  </sheetData>
  <mergeCells count="7">
    <mergeCell ref="A34:C34"/>
    <mergeCell ref="K1:M1"/>
    <mergeCell ref="AC5:AD6"/>
    <mergeCell ref="AE5:AI6"/>
    <mergeCell ref="A30:C30"/>
    <mergeCell ref="A31:C31"/>
    <mergeCell ref="A29:F29"/>
  </mergeCells>
  <pageMargins left="0.7" right="0.7" top="0.75" bottom="0.75" header="0.3" footer="0.3"/>
  <pageSetup paperSize="9" scale="45" orientation="portrait" r:id="rId1"/>
  <colBreaks count="1" manualBreakCount="1">
    <brk id="15" max="52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46"/>
  <sheetViews>
    <sheetView view="pageBreakPreview" zoomScale="75" zoomScaleNormal="75" zoomScaleSheetLayoutView="75" workbookViewId="0">
      <selection activeCell="H18" sqref="H18"/>
    </sheetView>
  </sheetViews>
  <sheetFormatPr defaultRowHeight="15.6"/>
  <cols>
    <col min="1" max="1" width="18.59765625" customWidth="1"/>
    <col min="3" max="3" width="24.09765625" customWidth="1"/>
    <col min="4" max="6" width="9" style="485" customWidth="1"/>
    <col min="7" max="7" width="11.3984375" style="192" customWidth="1"/>
    <col min="8" max="8" width="10.69921875" style="259" bestFit="1" customWidth="1"/>
    <col min="9" max="9" width="11.59765625" bestFit="1" customWidth="1"/>
    <col min="12" max="12" width="10.69921875" bestFit="1" customWidth="1"/>
    <col min="13" max="13" width="12" customWidth="1"/>
    <col min="14" max="14" width="10.59765625" bestFit="1" customWidth="1"/>
    <col min="15" max="16" width="11.09765625" bestFit="1" customWidth="1"/>
    <col min="17" max="17" width="14.8984375" bestFit="1" customWidth="1"/>
    <col min="18" max="18" width="9.59765625" customWidth="1"/>
    <col min="21" max="21" width="18.8984375" customWidth="1"/>
    <col min="22" max="22" width="13.69921875" customWidth="1"/>
    <col min="23" max="23" width="8.19921875" bestFit="1" customWidth="1"/>
    <col min="24" max="25" width="9.3984375" bestFit="1" customWidth="1"/>
    <col min="26" max="26" width="9.09765625" bestFit="1" customWidth="1"/>
    <col min="27" max="27" width="9.3984375" bestFit="1" customWidth="1"/>
    <col min="28" max="28" width="17.8984375" bestFit="1" customWidth="1"/>
    <col min="29" max="30" width="9.3984375" bestFit="1" customWidth="1"/>
    <col min="31" max="35" width="9.09765625" bestFit="1" customWidth="1"/>
    <col min="37" max="37" width="15.19921875" customWidth="1"/>
  </cols>
  <sheetData>
    <row r="1" spans="1:35">
      <c r="A1" s="94" t="s">
        <v>0</v>
      </c>
      <c r="B1" s="128"/>
      <c r="C1" s="54"/>
      <c r="D1" s="486"/>
      <c r="E1" s="486"/>
      <c r="F1" s="486"/>
      <c r="G1" s="80"/>
      <c r="H1" s="478"/>
      <c r="I1" s="50"/>
      <c r="J1" s="47"/>
      <c r="K1" s="937" t="str">
        <f>SUMMARY!N1</f>
        <v>PROPOSED BUILDING WORKS</v>
      </c>
      <c r="L1" s="937"/>
      <c r="M1" s="937"/>
      <c r="N1" s="2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</row>
    <row r="2" spans="1:35">
      <c r="A2" s="94">
        <f>SUMMARY!A2</f>
        <v>0</v>
      </c>
      <c r="B2" s="128"/>
      <c r="C2" s="54"/>
      <c r="D2" s="486"/>
      <c r="E2" s="486"/>
      <c r="F2" s="486"/>
      <c r="G2" s="80"/>
      <c r="H2" s="478"/>
      <c r="I2" s="50"/>
      <c r="J2" s="47"/>
      <c r="K2" s="47"/>
      <c r="L2" s="47"/>
      <c r="M2" s="53" t="str">
        <f>SUMMARY!N2</f>
        <v>261-263 Balwyn Road, Balwyn North</v>
      </c>
      <c r="N2" s="2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</row>
    <row r="3" spans="1:35" ht="16.2" thickBot="1">
      <c r="A3" s="49"/>
      <c r="B3" s="128"/>
      <c r="C3" s="54"/>
      <c r="D3" s="486"/>
      <c r="E3" s="486"/>
      <c r="F3" s="486"/>
      <c r="G3" s="80"/>
      <c r="H3" s="478"/>
      <c r="I3" s="50"/>
      <c r="J3" s="47"/>
      <c r="K3" s="47"/>
      <c r="L3" s="47"/>
      <c r="M3" s="51" t="str">
        <f>SUMMARY!N3</f>
        <v>ESTIMATE - V1</v>
      </c>
      <c r="N3" s="22"/>
      <c r="O3" s="52"/>
      <c r="P3" s="52"/>
      <c r="Q3" s="52"/>
      <c r="R3" s="52"/>
      <c r="S3" s="52"/>
      <c r="T3" s="52"/>
      <c r="X3" s="37"/>
      <c r="Y3" s="37"/>
      <c r="Z3" s="37"/>
      <c r="AA3" s="52"/>
    </row>
    <row r="4" spans="1:35">
      <c r="A4" s="655" t="s">
        <v>98</v>
      </c>
      <c r="B4" s="656" t="s">
        <v>99</v>
      </c>
      <c r="C4" s="657"/>
      <c r="D4" s="658" t="s">
        <v>100</v>
      </c>
      <c r="E4" s="658" t="s">
        <v>101</v>
      </c>
      <c r="F4" s="658" t="s">
        <v>102</v>
      </c>
      <c r="G4" s="659" t="s">
        <v>103</v>
      </c>
      <c r="H4" s="660" t="s">
        <v>104</v>
      </c>
      <c r="I4" s="661" t="s">
        <v>105</v>
      </c>
      <c r="J4" s="662" t="s">
        <v>106</v>
      </c>
      <c r="K4" s="662" t="s">
        <v>107</v>
      </c>
      <c r="L4" s="663" t="s">
        <v>108</v>
      </c>
      <c r="M4" s="663" t="s">
        <v>109</v>
      </c>
      <c r="N4" s="664" t="s">
        <v>108</v>
      </c>
      <c r="O4" s="665" t="s">
        <v>109</v>
      </c>
      <c r="P4" s="32"/>
      <c r="Q4" s="32"/>
      <c r="R4" s="32"/>
      <c r="S4" s="32"/>
      <c r="T4" s="32"/>
      <c r="U4" s="199"/>
      <c r="V4" s="199"/>
      <c r="W4" s="189"/>
      <c r="X4" s="198"/>
      <c r="Y4" s="627"/>
      <c r="Z4" s="199"/>
      <c r="AA4" s="199"/>
      <c r="AB4" s="199"/>
      <c r="AC4" s="199"/>
      <c r="AD4" s="199"/>
      <c r="AE4" s="199"/>
      <c r="AF4" s="199"/>
      <c r="AG4" s="199"/>
      <c r="AH4" s="183"/>
      <c r="AI4" s="206"/>
    </row>
    <row r="5" spans="1:35" ht="16.2" thickBot="1">
      <c r="A5" s="676">
        <v>2</v>
      </c>
      <c r="B5" s="134" t="s">
        <v>143</v>
      </c>
      <c r="C5" s="287"/>
      <c r="D5" s="488"/>
      <c r="E5" s="488"/>
      <c r="F5" s="488"/>
      <c r="G5" s="511"/>
      <c r="H5" s="479"/>
      <c r="I5" s="282"/>
      <c r="J5" s="281"/>
      <c r="K5" s="281"/>
      <c r="L5" s="281"/>
      <c r="M5" s="288"/>
      <c r="N5" s="281"/>
      <c r="O5" s="677"/>
      <c r="P5" s="22"/>
      <c r="Q5" s="172"/>
      <c r="R5" s="172"/>
      <c r="S5" s="22"/>
      <c r="T5" s="22"/>
      <c r="U5" s="216"/>
      <c r="V5" s="216"/>
      <c r="W5" s="216"/>
      <c r="X5" s="184"/>
      <c r="Y5" s="185"/>
      <c r="Z5" s="186"/>
      <c r="AA5" s="187"/>
      <c r="AB5" s="188"/>
      <c r="AC5" s="189"/>
      <c r="AD5" s="189"/>
      <c r="AE5" s="192"/>
      <c r="AF5" s="192"/>
      <c r="AG5" s="192"/>
      <c r="AH5" s="192"/>
      <c r="AI5" s="206"/>
    </row>
    <row r="6" spans="1:35" ht="16.2" thickBot="1">
      <c r="A6" s="669"/>
      <c r="B6" s="23" t="s">
        <v>144</v>
      </c>
      <c r="C6" s="231" t="s">
        <v>145</v>
      </c>
      <c r="D6" s="504" t="s">
        <v>146</v>
      </c>
      <c r="E6" s="504" t="s">
        <v>147</v>
      </c>
      <c r="F6" s="504" t="s">
        <v>148</v>
      </c>
      <c r="G6" s="735" t="s">
        <v>11</v>
      </c>
      <c r="H6" s="529" t="s">
        <v>85</v>
      </c>
      <c r="I6" s="239" t="s">
        <v>149</v>
      </c>
      <c r="J6" s="947" t="s">
        <v>150</v>
      </c>
      <c r="K6" s="948"/>
      <c r="L6" s="947" t="s">
        <v>151</v>
      </c>
      <c r="M6" s="948"/>
      <c r="N6" s="232" t="s">
        <v>152</v>
      </c>
      <c r="O6" s="678"/>
      <c r="P6" s="22"/>
      <c r="Q6" s="172"/>
      <c r="R6" s="172"/>
      <c r="S6" s="22"/>
      <c r="T6" s="22"/>
      <c r="U6" s="624"/>
      <c r="V6" s="624"/>
      <c r="W6" s="624"/>
      <c r="X6" s="327"/>
      <c r="Y6" s="327"/>
      <c r="Z6" s="327"/>
      <c r="AA6" s="327"/>
      <c r="AB6" s="327"/>
      <c r="AC6" s="327"/>
      <c r="AD6" s="327"/>
      <c r="AE6" s="327"/>
      <c r="AF6" s="327"/>
      <c r="AG6" s="327"/>
      <c r="AH6" s="323"/>
      <c r="AI6" s="206"/>
    </row>
    <row r="7" spans="1:35">
      <c r="A7" s="669"/>
      <c r="B7" s="130"/>
      <c r="C7" s="772">
        <v>1</v>
      </c>
      <c r="D7" s="731">
        <v>600</v>
      </c>
      <c r="E7" s="731">
        <v>2.4</v>
      </c>
      <c r="F7" s="731">
        <v>4</v>
      </c>
      <c r="G7" s="736">
        <f t="shared" ref="G7:G12" si="0">E7*F7</f>
        <v>9.6</v>
      </c>
      <c r="H7" s="732">
        <f>PI()*(D7/2/1000)^2*E7*F7</f>
        <v>2.7143360527015812</v>
      </c>
      <c r="I7" s="776">
        <f>H7*1.8</f>
        <v>4.8858048948628463</v>
      </c>
      <c r="J7" s="733">
        <v>10</v>
      </c>
      <c r="K7" s="289" t="s">
        <v>43</v>
      </c>
      <c r="L7" s="803" t="s">
        <v>38</v>
      </c>
      <c r="M7" s="775">
        <v>300</v>
      </c>
      <c r="N7" s="804">
        <f>VLOOKUP(K7,Costings!$A$2:$E$10,2)*J7*(E7+0.5)*F7/1000+VLOOKUP(L7,Costings!$A$2:$E$10,2)*(2*PI()*(D7/2/1000)+0.15)*((E7/(M7/1000))+1)/1000</f>
        <v>0.58579932218774933</v>
      </c>
      <c r="O7" s="678"/>
      <c r="P7" s="22"/>
      <c r="Q7" s="172"/>
      <c r="R7" s="172"/>
      <c r="S7" s="22"/>
      <c r="T7" s="22"/>
      <c r="U7" s="624"/>
      <c r="V7" s="630"/>
      <c r="W7" s="625"/>
      <c r="X7" s="328"/>
      <c r="Y7" s="328"/>
      <c r="Z7" s="328"/>
      <c r="AA7" s="328"/>
      <c r="AB7" s="328"/>
      <c r="AC7" s="328"/>
      <c r="AD7" s="328"/>
      <c r="AE7" s="328"/>
      <c r="AF7" s="328"/>
      <c r="AG7" s="328"/>
      <c r="AH7" s="183"/>
      <c r="AI7" s="206"/>
    </row>
    <row r="8" spans="1:35">
      <c r="A8" s="668"/>
      <c r="B8" s="131"/>
      <c r="C8" s="773"/>
      <c r="D8" s="476"/>
      <c r="E8" s="476"/>
      <c r="F8" s="476">
        <v>3</v>
      </c>
      <c r="G8" s="737">
        <f t="shared" si="0"/>
        <v>0</v>
      </c>
      <c r="H8" s="530">
        <f>PI()*(D8/2/1000)^2*E8*F8</f>
        <v>0</v>
      </c>
      <c r="I8" s="777">
        <f>H8*1.8</f>
        <v>0</v>
      </c>
      <c r="J8" s="291">
        <v>8</v>
      </c>
      <c r="K8" s="289" t="s">
        <v>40</v>
      </c>
      <c r="L8" s="805" t="s">
        <v>38</v>
      </c>
      <c r="M8" s="293">
        <v>300</v>
      </c>
      <c r="N8" s="227">
        <f>VLOOKUP(K8,Costings!$A$2:$E$10,2)*J8*(E8+0.5)*F8/1000+VLOOKUP(L8,Costings!$A$2:$E$10,2)*(2*PI()*(D8/2/1000)+0.15)*((E8/(M8/1000))+1)/1000</f>
        <v>1.9405499999999999E-2</v>
      </c>
      <c r="O8" s="678"/>
      <c r="P8" s="178"/>
      <c r="Q8" s="172"/>
      <c r="R8" s="172"/>
      <c r="S8" s="22"/>
      <c r="T8" s="22"/>
      <c r="U8" s="630"/>
      <c r="V8" s="630"/>
      <c r="W8" s="625"/>
      <c r="X8" s="329"/>
      <c r="Y8" s="329"/>
      <c r="Z8" s="329"/>
      <c r="AA8" s="329"/>
      <c r="AB8" s="329"/>
      <c r="AC8" s="329"/>
      <c r="AD8" s="329"/>
      <c r="AE8" s="329"/>
      <c r="AF8" s="329"/>
      <c r="AG8" s="329"/>
      <c r="AH8" s="183"/>
      <c r="AI8" s="206"/>
    </row>
    <row r="9" spans="1:35">
      <c r="A9" s="679"/>
      <c r="B9" s="133"/>
      <c r="C9" s="773" t="s">
        <v>153</v>
      </c>
      <c r="D9" s="476">
        <v>750</v>
      </c>
      <c r="E9" s="487">
        <v>5.65</v>
      </c>
      <c r="F9" s="476">
        <v>14</v>
      </c>
      <c r="G9" s="737">
        <f t="shared" si="0"/>
        <v>79.100000000000009</v>
      </c>
      <c r="H9" s="530"/>
      <c r="I9" s="777"/>
      <c r="J9" s="291"/>
      <c r="K9" s="289"/>
      <c r="L9" s="805"/>
      <c r="M9" s="293"/>
      <c r="N9" s="227"/>
      <c r="O9" s="678"/>
      <c r="P9" s="178"/>
      <c r="Q9" s="172"/>
      <c r="R9" s="172"/>
      <c r="S9" s="22"/>
      <c r="T9" s="22"/>
      <c r="U9" s="624"/>
      <c r="V9" s="624"/>
      <c r="W9" s="183"/>
      <c r="X9" s="324"/>
      <c r="Y9" s="324"/>
      <c r="Z9" s="324"/>
      <c r="AA9" s="324"/>
      <c r="AB9" s="324"/>
      <c r="AC9" s="324"/>
      <c r="AD9" s="324"/>
      <c r="AE9" s="324"/>
      <c r="AF9" s="324"/>
      <c r="AG9" s="324"/>
      <c r="AH9" s="324"/>
      <c r="AI9" s="206"/>
    </row>
    <row r="10" spans="1:35">
      <c r="A10" s="679"/>
      <c r="B10" s="133"/>
      <c r="C10" s="773"/>
      <c r="D10" s="476"/>
      <c r="E10" s="476"/>
      <c r="F10" s="476"/>
      <c r="G10" s="737">
        <f t="shared" si="0"/>
        <v>0</v>
      </c>
      <c r="H10" s="530"/>
      <c r="I10" s="777"/>
      <c r="J10" s="291"/>
      <c r="K10" s="289"/>
      <c r="L10" s="805"/>
      <c r="M10" s="293"/>
      <c r="N10" s="227"/>
      <c r="O10" s="678"/>
      <c r="P10" s="178"/>
      <c r="Q10" s="172"/>
      <c r="R10" s="80"/>
      <c r="S10" s="22"/>
      <c r="T10" s="22"/>
      <c r="U10" s="624"/>
      <c r="V10" s="259"/>
      <c r="W10" s="625"/>
      <c r="X10" s="324"/>
      <c r="Y10" s="324"/>
      <c r="Z10" s="324"/>
      <c r="AA10" s="324"/>
      <c r="AB10" s="324"/>
      <c r="AC10" s="324"/>
      <c r="AD10" s="324"/>
      <c r="AE10" s="324"/>
      <c r="AF10" s="324"/>
      <c r="AG10" s="324"/>
      <c r="AH10" s="330"/>
      <c r="AI10" s="206"/>
    </row>
    <row r="11" spans="1:35">
      <c r="A11" s="679"/>
      <c r="B11" s="133"/>
      <c r="C11" s="773">
        <v>5</v>
      </c>
      <c r="D11" s="476">
        <v>600</v>
      </c>
      <c r="E11" s="476">
        <v>5.1100000000000003</v>
      </c>
      <c r="F11" s="476">
        <v>24</v>
      </c>
      <c r="G11" s="737">
        <f t="shared" si="0"/>
        <v>122.64000000000001</v>
      </c>
      <c r="H11" s="530"/>
      <c r="I11" s="777"/>
      <c r="J11" s="291"/>
      <c r="K11" s="289"/>
      <c r="L11" s="805"/>
      <c r="M11" s="293"/>
      <c r="N11" s="227"/>
      <c r="O11" s="678"/>
      <c r="P11" s="178"/>
      <c r="Q11" s="80"/>
      <c r="R11" s="80"/>
      <c r="S11" s="22"/>
      <c r="T11" s="22"/>
      <c r="U11" s="624"/>
      <c r="V11" s="259"/>
      <c r="W11" s="625"/>
      <c r="X11" s="324"/>
      <c r="Y11" s="324"/>
      <c r="Z11" s="324"/>
      <c r="AA11" s="324"/>
      <c r="AB11" s="324"/>
      <c r="AC11" s="324"/>
      <c r="AD11" s="324"/>
      <c r="AE11" s="324"/>
      <c r="AF11" s="324"/>
      <c r="AG11" s="324"/>
      <c r="AH11" s="324"/>
      <c r="AI11" s="206"/>
    </row>
    <row r="12" spans="1:35" ht="16.2" thickBot="1">
      <c r="A12" s="668"/>
      <c r="B12" s="131"/>
      <c r="C12" s="802">
        <v>6</v>
      </c>
      <c r="D12" s="477">
        <v>450</v>
      </c>
      <c r="E12" s="477">
        <v>1.6</v>
      </c>
      <c r="F12" s="477">
        <v>4</v>
      </c>
      <c r="G12" s="737">
        <f t="shared" si="0"/>
        <v>6.4</v>
      </c>
      <c r="H12" s="531"/>
      <c r="I12" s="778"/>
      <c r="J12" s="292"/>
      <c r="K12" s="290"/>
      <c r="L12" s="806"/>
      <c r="M12" s="294"/>
      <c r="N12" s="230"/>
      <c r="O12" s="678"/>
      <c r="P12" s="178"/>
      <c r="Q12" s="80"/>
      <c r="R12" s="172"/>
      <c r="S12" s="22"/>
      <c r="T12" s="22"/>
      <c r="U12" s="949"/>
      <c r="V12" s="949"/>
      <c r="W12" s="949"/>
    </row>
    <row r="13" spans="1:35">
      <c r="A13" s="668"/>
      <c r="B13" s="131"/>
      <c r="C13" s="234" t="s">
        <v>154</v>
      </c>
      <c r="D13" s="484"/>
      <c r="E13" s="484"/>
      <c r="F13" s="484">
        <f>SUM(F7:F12)</f>
        <v>49</v>
      </c>
      <c r="G13" s="93">
        <f>SUM(G7:G12)</f>
        <v>217.74000000000004</v>
      </c>
      <c r="H13" s="532">
        <f>SUM(H7:H12)</f>
        <v>2.7143360527015812</v>
      </c>
      <c r="I13" s="235">
        <f>SUM(I7:I12)</f>
        <v>4.8858048948628463</v>
      </c>
      <c r="J13" s="236"/>
      <c r="K13" s="236"/>
      <c r="L13" s="237"/>
      <c r="M13" s="238"/>
      <c r="N13" s="237">
        <f>ROUNDDOWN(SUM(N7:N12),2)</f>
        <v>0.6</v>
      </c>
      <c r="O13" s="680"/>
      <c r="P13" s="178"/>
      <c r="Q13" s="172"/>
      <c r="R13" s="172"/>
      <c r="S13" s="37"/>
      <c r="T13" s="37"/>
      <c r="U13" s="183"/>
      <c r="V13" s="183"/>
      <c r="W13" s="196"/>
      <c r="X13" s="183"/>
    </row>
    <row r="14" spans="1:35">
      <c r="A14" s="681"/>
      <c r="B14" s="262"/>
      <c r="C14" s="262"/>
      <c r="D14" s="497"/>
      <c r="E14" s="497"/>
      <c r="F14" s="497"/>
      <c r="G14" s="561"/>
      <c r="H14" s="369"/>
      <c r="I14" s="262"/>
      <c r="J14" s="262"/>
      <c r="K14" s="262"/>
      <c r="L14" s="262"/>
      <c r="M14" s="262"/>
      <c r="N14" s="262"/>
      <c r="O14" s="682"/>
      <c r="P14" s="37"/>
      <c r="Q14" s="172"/>
      <c r="R14" s="172"/>
      <c r="S14" s="37"/>
      <c r="T14" s="37"/>
      <c r="U14" s="943"/>
      <c r="V14" s="943"/>
      <c r="W14" s="183"/>
    </row>
    <row r="15" spans="1:35">
      <c r="A15" s="683" t="s">
        <v>98</v>
      </c>
      <c r="B15" s="129" t="s">
        <v>99</v>
      </c>
      <c r="C15" s="55"/>
      <c r="D15" s="482" t="s">
        <v>100</v>
      </c>
      <c r="E15" s="482" t="s">
        <v>101</v>
      </c>
      <c r="F15" s="482" t="s">
        <v>102</v>
      </c>
      <c r="G15" s="58" t="s">
        <v>103</v>
      </c>
      <c r="H15" s="518" t="s">
        <v>104</v>
      </c>
      <c r="I15" s="59" t="s">
        <v>105</v>
      </c>
      <c r="J15" s="60" t="s">
        <v>106</v>
      </c>
      <c r="K15" s="60" t="s">
        <v>107</v>
      </c>
      <c r="L15" s="154" t="s">
        <v>108</v>
      </c>
      <c r="M15" s="154" t="s">
        <v>109</v>
      </c>
      <c r="N15" s="144" t="s">
        <v>108</v>
      </c>
      <c r="O15" s="684" t="s">
        <v>109</v>
      </c>
      <c r="P15" s="22"/>
      <c r="Q15" s="22"/>
      <c r="R15" s="22"/>
      <c r="S15" s="22"/>
      <c r="T15" s="22"/>
      <c r="U15" s="183"/>
      <c r="V15" s="203"/>
      <c r="W15" s="183"/>
    </row>
    <row r="16" spans="1:35">
      <c r="A16" s="685"/>
      <c r="B16" s="257"/>
      <c r="C16" s="257"/>
      <c r="D16" s="489"/>
      <c r="E16" s="489"/>
      <c r="F16" s="489"/>
      <c r="G16" s="562"/>
      <c r="H16" s="480"/>
      <c r="I16" s="247"/>
      <c r="J16" s="257"/>
      <c r="K16" s="257"/>
      <c r="L16" s="243"/>
      <c r="M16" s="249"/>
      <c r="N16" s="251"/>
      <c r="O16" s="686"/>
      <c r="P16" s="22"/>
      <c r="Q16" s="22"/>
      <c r="R16" s="22"/>
      <c r="S16" s="22"/>
      <c r="T16" s="22"/>
      <c r="U16" s="183"/>
      <c r="V16" s="210"/>
      <c r="W16" s="183"/>
    </row>
    <row r="17" spans="1:35">
      <c r="A17" s="679"/>
      <c r="B17" s="131"/>
      <c r="C17" s="38" t="s">
        <v>85</v>
      </c>
      <c r="E17" s="486"/>
      <c r="F17" s="486"/>
      <c r="G17" s="253" t="s">
        <v>10</v>
      </c>
      <c r="H17" s="533">
        <v>9.23</v>
      </c>
      <c r="I17" s="296">
        <v>0.15</v>
      </c>
      <c r="J17" s="258"/>
      <c r="K17" s="242" t="s">
        <v>91</v>
      </c>
      <c r="L17" s="245">
        <f>VLOOKUP(K17,Costings!$A$49:$B$59,2)</f>
        <v>158</v>
      </c>
      <c r="M17" s="156">
        <f>L17*(H17+H17*I17)</f>
        <v>1677.0909999999999</v>
      </c>
      <c r="N17" s="145">
        <f>L17*1.5</f>
        <v>237</v>
      </c>
      <c r="O17" s="146">
        <f>N17*(H17+H17*I17)</f>
        <v>2515.6365000000001</v>
      </c>
      <c r="P17" s="22"/>
      <c r="Q17" s="80"/>
      <c r="R17" s="80"/>
      <c r="S17" s="80"/>
      <c r="T17" s="80"/>
      <c r="U17" s="943"/>
      <c r="V17" s="943"/>
      <c r="W17" s="196"/>
    </row>
    <row r="18" spans="1:35">
      <c r="A18" s="679"/>
      <c r="B18" s="131"/>
      <c r="C18" s="258"/>
      <c r="E18" s="486"/>
      <c r="F18" s="486"/>
      <c r="G18" s="297"/>
      <c r="H18" s="533"/>
      <c r="I18" s="63"/>
      <c r="J18" s="64"/>
      <c r="K18" s="258"/>
      <c r="L18" s="244"/>
      <c r="M18" s="250"/>
      <c r="N18" s="252"/>
      <c r="O18" s="688"/>
      <c r="P18" s="37"/>
      <c r="Q18" s="172"/>
      <c r="R18" s="172"/>
      <c r="S18" s="172"/>
      <c r="T18" s="172"/>
      <c r="U18" s="944"/>
      <c r="V18" s="944"/>
      <c r="W18" s="332"/>
    </row>
    <row r="19" spans="1:35">
      <c r="A19" s="679"/>
      <c r="B19" s="131"/>
      <c r="C19" s="38" t="s">
        <v>155</v>
      </c>
      <c r="E19" s="486"/>
      <c r="F19" s="486"/>
      <c r="G19" s="240" t="s">
        <v>10</v>
      </c>
      <c r="H19" s="533">
        <f>I13</f>
        <v>4.8858048948628463</v>
      </c>
      <c r="I19" s="63"/>
      <c r="J19" s="64"/>
      <c r="K19" s="64"/>
      <c r="L19" s="245">
        <v>35</v>
      </c>
      <c r="M19" s="156">
        <f>H19*L19</f>
        <v>171.00317132019961</v>
      </c>
      <c r="N19" s="145">
        <f>L19*1.5</f>
        <v>52.5</v>
      </c>
      <c r="O19" s="687">
        <f>H19*N19</f>
        <v>256.50475698029942</v>
      </c>
      <c r="P19" s="41"/>
      <c r="Q19" s="172"/>
      <c r="R19" s="173"/>
      <c r="S19" s="174"/>
      <c r="T19" s="174"/>
      <c r="U19" s="943"/>
      <c r="V19" s="943"/>
      <c r="W19" s="210"/>
    </row>
    <row r="20" spans="1:35">
      <c r="A20" s="679"/>
      <c r="B20" s="131"/>
      <c r="G20" s="297"/>
      <c r="H20" s="298"/>
      <c r="L20" s="179"/>
      <c r="M20" s="182"/>
      <c r="N20" s="181"/>
      <c r="O20" s="689"/>
      <c r="P20" s="41"/>
      <c r="Q20" s="172"/>
      <c r="R20" s="173"/>
      <c r="S20" s="174"/>
      <c r="T20" s="174"/>
      <c r="X20" s="183"/>
      <c r="Y20" s="183"/>
      <c r="Z20" s="183"/>
      <c r="AA20" s="183"/>
      <c r="AB20" s="183"/>
      <c r="AC20" s="183"/>
      <c r="AD20" s="183"/>
      <c r="AE20" s="183"/>
      <c r="AF20" s="192"/>
      <c r="AG20" s="192"/>
      <c r="AH20" s="183"/>
      <c r="AI20" s="206"/>
    </row>
    <row r="21" spans="1:35">
      <c r="A21" s="679"/>
      <c r="B21" s="131"/>
      <c r="C21" s="38" t="s">
        <v>156</v>
      </c>
      <c r="D21" s="486"/>
      <c r="E21" s="486"/>
      <c r="F21" s="486"/>
      <c r="G21" s="297" t="s">
        <v>128</v>
      </c>
      <c r="H21" s="533"/>
      <c r="I21" s="63"/>
      <c r="J21" s="64"/>
      <c r="K21" s="64"/>
      <c r="L21" s="179"/>
      <c r="M21" s="182"/>
      <c r="N21" s="181"/>
      <c r="O21" s="689"/>
      <c r="P21" s="41"/>
      <c r="Q21" s="172"/>
      <c r="R21" s="173"/>
      <c r="S21" s="174"/>
      <c r="T21" s="174"/>
      <c r="X21" s="627"/>
      <c r="Y21" s="627"/>
      <c r="Z21" s="217"/>
      <c r="AA21" s="334"/>
      <c r="AB21" s="627"/>
      <c r="AC21" s="183"/>
      <c r="AD21" s="183"/>
      <c r="AE21" s="183"/>
      <c r="AF21" s="183"/>
      <c r="AG21" s="183"/>
      <c r="AH21" s="190"/>
      <c r="AI21" s="206"/>
    </row>
    <row r="22" spans="1:35">
      <c r="A22" s="679"/>
      <c r="B22" s="131"/>
      <c r="D22" s="486">
        <f>H19</f>
        <v>4.8858048948628463</v>
      </c>
      <c r="E22" s="486">
        <v>10</v>
      </c>
      <c r="F22" s="487">
        <v>1</v>
      </c>
      <c r="G22" s="240"/>
      <c r="H22" s="520"/>
      <c r="I22" s="63"/>
      <c r="J22" s="64"/>
      <c r="K22" s="64"/>
      <c r="L22" s="245">
        <f>75*8</f>
        <v>600</v>
      </c>
      <c r="M22" s="156">
        <f>G22*L22</f>
        <v>0</v>
      </c>
      <c r="N22" s="145">
        <f>L22*1.5</f>
        <v>900</v>
      </c>
      <c r="O22" s="687">
        <f>N22*G22</f>
        <v>0</v>
      </c>
      <c r="P22" s="37"/>
      <c r="Q22" s="172"/>
      <c r="R22" s="173"/>
      <c r="S22" s="174"/>
      <c r="T22" s="174"/>
      <c r="X22" s="213"/>
      <c r="Y22" s="183"/>
      <c r="Z22" s="210"/>
      <c r="AA22" s="196"/>
      <c r="AB22" s="943"/>
      <c r="AC22" s="943"/>
      <c r="AD22" s="943"/>
      <c r="AE22" s="212"/>
      <c r="AF22" s="945"/>
      <c r="AG22" s="945"/>
      <c r="AH22" s="196"/>
      <c r="AI22" s="206"/>
    </row>
    <row r="23" spans="1:35">
      <c r="A23" s="679"/>
      <c r="B23" s="131"/>
      <c r="C23" s="233"/>
      <c r="D23" s="486"/>
      <c r="E23" s="486"/>
      <c r="F23" s="486"/>
      <c r="G23" s="240"/>
      <c r="H23" s="520"/>
      <c r="I23" s="63"/>
      <c r="J23" s="64"/>
      <c r="K23" s="64"/>
      <c r="L23" s="245"/>
      <c r="M23" s="156"/>
      <c r="N23" s="145"/>
      <c r="O23" s="687"/>
      <c r="P23" s="41"/>
      <c r="Q23" s="172"/>
      <c r="R23" s="173"/>
      <c r="S23" s="174"/>
      <c r="T23" s="174"/>
      <c r="X23" s="192"/>
      <c r="Y23" s="192"/>
      <c r="Z23" s="192"/>
      <c r="AA23" s="192"/>
      <c r="AB23" s="192"/>
      <c r="AC23" s="335"/>
      <c r="AD23" s="336"/>
      <c r="AE23" s="337"/>
      <c r="AF23" s="337"/>
      <c r="AG23" s="337"/>
      <c r="AH23" s="183"/>
      <c r="AI23" s="206"/>
    </row>
    <row r="24" spans="1:35">
      <c r="A24" s="668"/>
      <c r="B24" s="131"/>
      <c r="C24" s="222" t="s">
        <v>157</v>
      </c>
      <c r="D24" s="483"/>
      <c r="E24" s="483"/>
      <c r="F24" s="483"/>
      <c r="G24" s="33" t="s">
        <v>158</v>
      </c>
      <c r="H24" s="520">
        <f>N13</f>
        <v>0.6</v>
      </c>
      <c r="I24" s="296">
        <v>0.05</v>
      </c>
      <c r="J24" s="64"/>
      <c r="K24" s="295">
        <v>1950</v>
      </c>
      <c r="L24" s="245">
        <f>(1+I24)*K24</f>
        <v>2047.5</v>
      </c>
      <c r="M24" s="156">
        <f>H24*L24</f>
        <v>1228.5</v>
      </c>
      <c r="N24" s="145">
        <f>L24*1.5</f>
        <v>3071.25</v>
      </c>
      <c r="O24" s="687">
        <f>H24*N24</f>
        <v>1842.75</v>
      </c>
      <c r="P24" s="41"/>
      <c r="Q24" s="172"/>
      <c r="R24" s="173"/>
      <c r="S24" s="174"/>
      <c r="T24" s="174"/>
      <c r="X24" s="192"/>
      <c r="Y24" s="192"/>
      <c r="Z24" s="192"/>
      <c r="AA24" s="192"/>
      <c r="AB24" s="192"/>
      <c r="AC24" s="335"/>
      <c r="AD24" s="336"/>
      <c r="AE24" s="337"/>
      <c r="AF24" s="337"/>
      <c r="AG24" s="337"/>
      <c r="AH24" s="337"/>
      <c r="AI24" s="206"/>
    </row>
    <row r="25" spans="1:35">
      <c r="A25" s="668"/>
      <c r="B25" s="131"/>
      <c r="C25" s="222"/>
      <c r="D25" s="483"/>
      <c r="E25" s="483"/>
      <c r="F25" s="483"/>
      <c r="G25" s="33"/>
      <c r="H25" s="520"/>
      <c r="I25" s="241"/>
      <c r="J25" s="64"/>
      <c r="K25" s="64"/>
      <c r="L25" s="245"/>
      <c r="M25" s="156"/>
      <c r="N25" s="145"/>
      <c r="O25" s="687"/>
      <c r="P25" s="41"/>
      <c r="Q25" s="172"/>
      <c r="R25" s="173"/>
      <c r="S25" s="174"/>
      <c r="T25" s="174"/>
      <c r="X25" s="192"/>
      <c r="Y25" s="192"/>
      <c r="Z25" s="192"/>
      <c r="AA25" s="192"/>
      <c r="AB25" s="192"/>
      <c r="AC25" s="335"/>
      <c r="AD25" s="336"/>
      <c r="AE25" s="337"/>
      <c r="AF25" s="337"/>
      <c r="AG25" s="337"/>
      <c r="AH25" s="337"/>
      <c r="AI25" s="206"/>
    </row>
    <row r="26" spans="1:35" ht="17.25" customHeight="1">
      <c r="A26" s="679"/>
      <c r="B26" s="131"/>
      <c r="C26" s="222"/>
      <c r="D26" s="483"/>
      <c r="E26" s="483"/>
      <c r="F26" s="483"/>
      <c r="G26" s="33"/>
      <c r="H26" s="520"/>
      <c r="I26" s="296"/>
      <c r="J26" s="64"/>
      <c r="L26" s="245"/>
      <c r="M26" s="156"/>
      <c r="N26" s="145"/>
      <c r="O26" s="687"/>
      <c r="P26" s="37"/>
      <c r="Q26" s="172"/>
      <c r="R26" s="172"/>
      <c r="S26" s="172"/>
      <c r="T26" s="37"/>
      <c r="X26" s="219"/>
      <c r="Y26" s="219"/>
      <c r="Z26" s="219"/>
      <c r="AA26" s="194"/>
      <c r="AB26" s="194"/>
      <c r="AC26" s="335"/>
      <c r="AD26" s="336"/>
      <c r="AE26" s="337"/>
      <c r="AF26" s="337"/>
      <c r="AG26" s="337"/>
      <c r="AH26" s="337"/>
      <c r="AI26" s="206"/>
    </row>
    <row r="27" spans="1:35" ht="17.25" customHeight="1">
      <c r="A27" s="679"/>
      <c r="B27" s="131"/>
      <c r="G27" s="297"/>
      <c r="H27" s="298"/>
      <c r="L27" s="179"/>
      <c r="M27" s="182"/>
      <c r="N27" s="181"/>
      <c r="O27" s="689"/>
      <c r="P27" s="41"/>
      <c r="Q27" s="172"/>
      <c r="R27" s="173"/>
      <c r="S27" s="174"/>
      <c r="T27" s="41"/>
      <c r="X27" s="213"/>
      <c r="Y27" s="210"/>
      <c r="Z27" s="210"/>
      <c r="AA27" s="196"/>
      <c r="AB27" s="196"/>
      <c r="AC27" s="183"/>
      <c r="AD27" s="183"/>
      <c r="AE27" s="183"/>
      <c r="AF27" s="183"/>
      <c r="AG27" s="183"/>
      <c r="AH27" s="183"/>
      <c r="AI27" s="206"/>
    </row>
    <row r="28" spans="1:35" ht="15.45" customHeight="1">
      <c r="A28" s="679"/>
      <c r="B28" s="131"/>
      <c r="C28" s="183" t="s">
        <v>159</v>
      </c>
      <c r="G28" s="297" t="s">
        <v>160</v>
      </c>
      <c r="H28" s="534">
        <f>F13</f>
        <v>49</v>
      </c>
      <c r="L28" s="179"/>
      <c r="M28" s="182"/>
      <c r="N28" s="181"/>
      <c r="O28" s="689"/>
      <c r="P28" s="41"/>
      <c r="Q28" s="172"/>
      <c r="R28" s="173"/>
      <c r="S28" s="174"/>
      <c r="T28" s="41"/>
      <c r="X28" s="213"/>
      <c r="Y28" s="210"/>
      <c r="Z28" s="210"/>
      <c r="AA28" s="196"/>
      <c r="AB28" s="196"/>
      <c r="AC28" s="183"/>
      <c r="AD28" s="183"/>
      <c r="AE28" s="183"/>
      <c r="AF28" s="183"/>
      <c r="AG28" s="183"/>
      <c r="AH28" s="183"/>
      <c r="AI28" s="206"/>
    </row>
    <row r="29" spans="1:35">
      <c r="A29" s="668"/>
      <c r="B29" s="131"/>
      <c r="C29" s="183"/>
      <c r="G29" s="297" t="s">
        <v>161</v>
      </c>
      <c r="H29" s="535">
        <v>11</v>
      </c>
      <c r="L29" s="179"/>
      <c r="M29" s="182"/>
      <c r="N29" s="181"/>
      <c r="O29" s="689"/>
      <c r="P29" s="41"/>
      <c r="Q29" s="172"/>
      <c r="R29" s="173"/>
      <c r="S29" s="174"/>
      <c r="T29" s="41"/>
      <c r="X29" s="625"/>
      <c r="Y29" s="625"/>
      <c r="Z29" s="625"/>
      <c r="AA29" s="332"/>
      <c r="AB29" s="332"/>
      <c r="AC29" s="183"/>
      <c r="AD29" s="183"/>
      <c r="AE29" s="183"/>
      <c r="AF29" s="183"/>
      <c r="AG29" s="183"/>
      <c r="AH29" s="183"/>
      <c r="AI29" s="206"/>
    </row>
    <row r="30" spans="1:35">
      <c r="A30" s="668"/>
      <c r="B30" s="131"/>
      <c r="C30" s="183"/>
      <c r="G30" s="297" t="s">
        <v>162</v>
      </c>
      <c r="H30" s="836">
        <v>0</v>
      </c>
      <c r="I30" s="260"/>
      <c r="L30" s="179"/>
      <c r="M30" s="182"/>
      <c r="N30" s="181"/>
      <c r="O30" s="689"/>
      <c r="P30" s="41"/>
      <c r="Q30" s="172"/>
      <c r="R30" s="173"/>
      <c r="S30" s="174"/>
      <c r="T30" s="41"/>
      <c r="X30" s="218"/>
      <c r="Y30" s="218"/>
      <c r="Z30" s="193"/>
      <c r="AA30" s="183"/>
      <c r="AB30" s="183"/>
      <c r="AC30" s="183"/>
      <c r="AD30" s="183"/>
      <c r="AE30" s="946"/>
      <c r="AF30" s="946"/>
      <c r="AG30" s="946"/>
      <c r="AH30" s="946"/>
      <c r="AI30" s="206"/>
    </row>
    <row r="31" spans="1:35" ht="19.95" customHeight="1">
      <c r="A31" s="679"/>
      <c r="B31" s="131"/>
      <c r="G31" s="297"/>
      <c r="H31" s="298"/>
      <c r="L31" s="179"/>
      <c r="M31" s="182"/>
      <c r="N31" s="181"/>
      <c r="O31" s="689"/>
      <c r="P31" s="41"/>
      <c r="Q31" s="172"/>
      <c r="R31" s="173"/>
      <c r="S31" s="174"/>
      <c r="T31" s="41"/>
      <c r="X31" s="218"/>
      <c r="Y31" s="218"/>
      <c r="Z31" s="331"/>
      <c r="AA31" s="183"/>
      <c r="AB31" s="183"/>
      <c r="AC31" s="183"/>
      <c r="AD31" s="183"/>
      <c r="AE31" s="946"/>
      <c r="AF31" s="946"/>
      <c r="AG31" s="946"/>
      <c r="AH31" s="946"/>
      <c r="AI31" s="206"/>
    </row>
    <row r="32" spans="1:35" ht="17.25" customHeight="1">
      <c r="A32" s="679"/>
      <c r="B32" s="131"/>
      <c r="C32" s="942" t="s">
        <v>163</v>
      </c>
      <c r="D32" s="942"/>
      <c r="E32" s="483"/>
      <c r="F32" s="483"/>
      <c r="G32" s="33"/>
      <c r="H32" s="533" t="s">
        <v>128</v>
      </c>
      <c r="I32" s="63"/>
      <c r="J32" s="64"/>
      <c r="K32" s="64"/>
      <c r="L32" s="245"/>
      <c r="M32" s="156"/>
      <c r="N32" s="145"/>
      <c r="O32" s="687"/>
      <c r="P32" s="41"/>
      <c r="Q32" s="172"/>
      <c r="R32" s="173"/>
      <c r="S32" s="174"/>
      <c r="T32" s="41"/>
      <c r="U32" s="218"/>
      <c r="V32" s="218"/>
      <c r="W32" s="218"/>
      <c r="X32" s="219"/>
      <c r="Y32" s="219"/>
      <c r="Z32" s="219"/>
      <c r="AA32" s="219"/>
      <c r="AB32" s="194"/>
      <c r="AC32" s="194"/>
      <c r="AD32" s="194"/>
      <c r="AE32" s="946"/>
      <c r="AF32" s="946"/>
      <c r="AG32" s="946"/>
      <c r="AH32" s="946"/>
      <c r="AI32" s="206"/>
    </row>
    <row r="33" spans="1:35">
      <c r="A33" s="679"/>
      <c r="B33" s="131"/>
      <c r="C33" s="274" t="s">
        <v>164</v>
      </c>
      <c r="D33" s="488"/>
      <c r="E33" s="488"/>
      <c r="F33" s="488"/>
      <c r="G33" s="276"/>
      <c r="H33" s="537">
        <v>10</v>
      </c>
      <c r="I33" s="275"/>
      <c r="J33" s="277"/>
      <c r="K33" s="277"/>
      <c r="L33" s="278">
        <v>3200</v>
      </c>
      <c r="M33" s="154">
        <f>L33*H33</f>
        <v>32000</v>
      </c>
      <c r="N33" s="812">
        <f t="shared" ref="N33:N38" si="1">L33*1.5</f>
        <v>4800</v>
      </c>
      <c r="O33" s="144">
        <f>N33*H33</f>
        <v>48000</v>
      </c>
      <c r="P33" s="41"/>
      <c r="Q33" s="41"/>
      <c r="R33" s="41"/>
      <c r="S33" s="41"/>
      <c r="T33" s="41"/>
      <c r="U33" s="183"/>
      <c r="V33" s="183"/>
      <c r="W33" s="183"/>
      <c r="X33" s="219"/>
      <c r="Y33" s="338"/>
      <c r="Z33" s="339"/>
      <c r="AA33" s="340"/>
      <c r="AB33" s="339"/>
      <c r="AC33" s="195"/>
      <c r="AD33" s="195"/>
      <c r="AE33" s="626"/>
      <c r="AF33" s="626"/>
      <c r="AG33" s="626"/>
      <c r="AH33" s="626"/>
      <c r="AI33" s="206"/>
    </row>
    <row r="34" spans="1:35">
      <c r="A34" s="690"/>
      <c r="C34" s="191" t="s">
        <v>165</v>
      </c>
      <c r="D34" s="489"/>
      <c r="E34" s="489"/>
      <c r="F34" s="489"/>
      <c r="G34" s="562"/>
      <c r="H34" s="537">
        <v>3</v>
      </c>
      <c r="I34" s="300"/>
      <c r="J34" s="300"/>
      <c r="K34" s="300"/>
      <c r="L34" s="307">
        <v>1500</v>
      </c>
      <c r="M34" s="154">
        <f>L34*H34</f>
        <v>4500</v>
      </c>
      <c r="N34" s="813">
        <f t="shared" si="1"/>
        <v>2250</v>
      </c>
      <c r="O34" s="144">
        <f>N34*H34</f>
        <v>6750</v>
      </c>
      <c r="P34" s="41"/>
      <c r="Q34" s="41"/>
      <c r="R34" s="41"/>
      <c r="S34" s="41"/>
      <c r="T34" s="41"/>
      <c r="U34" s="183"/>
      <c r="V34" s="183"/>
      <c r="W34" s="183"/>
      <c r="X34" s="219"/>
      <c r="Y34" s="338"/>
      <c r="Z34" s="339"/>
      <c r="AA34" s="340"/>
      <c r="AB34" s="339"/>
      <c r="AC34" s="195"/>
      <c r="AD34" s="195"/>
      <c r="AE34" s="626"/>
      <c r="AF34" s="626"/>
      <c r="AG34" s="626"/>
      <c r="AH34" s="626"/>
      <c r="AI34" s="206"/>
    </row>
    <row r="35" spans="1:35">
      <c r="A35" s="668"/>
      <c r="B35" s="131"/>
      <c r="C35" s="274" t="s">
        <v>166</v>
      </c>
      <c r="D35" s="490">
        <v>125</v>
      </c>
      <c r="E35" s="491">
        <v>8</v>
      </c>
      <c r="F35" s="491"/>
      <c r="G35" s="58"/>
      <c r="H35" s="538">
        <v>4</v>
      </c>
      <c r="I35" s="283"/>
      <c r="J35" s="305"/>
      <c r="K35" s="305"/>
      <c r="L35" s="308">
        <f>D35*E35</f>
        <v>1000</v>
      </c>
      <c r="M35" s="154">
        <f>L35*H35</f>
        <v>4000</v>
      </c>
      <c r="N35" s="814">
        <f t="shared" si="1"/>
        <v>1500</v>
      </c>
      <c r="O35" s="144">
        <f>N35*H35</f>
        <v>6000</v>
      </c>
      <c r="P35" s="41"/>
      <c r="Q35" s="41"/>
      <c r="R35" s="41"/>
      <c r="S35" s="41"/>
      <c r="T35" s="41"/>
      <c r="U35" s="199"/>
      <c r="V35" s="199"/>
      <c r="W35" s="199"/>
      <c r="X35" s="199"/>
      <c r="Y35" s="627"/>
      <c r="Z35" s="199"/>
      <c r="AA35" s="199"/>
      <c r="AB35" s="332"/>
      <c r="AC35" s="332"/>
      <c r="AD35" s="332"/>
      <c r="AE35" s="626"/>
      <c r="AF35" s="626"/>
      <c r="AG35" s="626"/>
      <c r="AH35" s="626"/>
      <c r="AI35" s="333"/>
    </row>
    <row r="36" spans="1:35">
      <c r="A36" s="668"/>
      <c r="B36" s="131"/>
      <c r="C36" s="306" t="s">
        <v>139</v>
      </c>
      <c r="D36" s="492">
        <v>0</v>
      </c>
      <c r="E36" s="493">
        <v>8</v>
      </c>
      <c r="F36" s="493"/>
      <c r="G36" s="301"/>
      <c r="H36" s="539">
        <f>H30</f>
        <v>0</v>
      </c>
      <c r="I36" s="302"/>
      <c r="J36" s="285"/>
      <c r="K36" s="285"/>
      <c r="L36" s="309">
        <f>D36*E36</f>
        <v>0</v>
      </c>
      <c r="M36" s="154">
        <f>L36*H36</f>
        <v>0</v>
      </c>
      <c r="N36" s="814">
        <f t="shared" si="1"/>
        <v>0</v>
      </c>
      <c r="O36" s="144">
        <f>N36*H36</f>
        <v>0</v>
      </c>
      <c r="P36" s="41"/>
      <c r="T36" s="41"/>
      <c r="AE36" s="183"/>
      <c r="AF36" s="183"/>
      <c r="AG36" s="183"/>
      <c r="AH36" s="183"/>
      <c r="AI36" s="206"/>
    </row>
    <row r="37" spans="1:35">
      <c r="A37" s="679"/>
      <c r="B37" s="133"/>
      <c r="C37" s="274" t="s">
        <v>167</v>
      </c>
      <c r="D37" s="492">
        <v>80</v>
      </c>
      <c r="E37" s="493">
        <v>8</v>
      </c>
      <c r="F37" s="493"/>
      <c r="G37" s="301"/>
      <c r="H37" s="539">
        <v>5</v>
      </c>
      <c r="I37" s="302"/>
      <c r="J37" s="285"/>
      <c r="K37" s="285"/>
      <c r="L37" s="309">
        <f>D37*E37</f>
        <v>640</v>
      </c>
      <c r="M37" s="154">
        <f>L37*H37</f>
        <v>3200</v>
      </c>
      <c r="N37" s="814">
        <f t="shared" si="1"/>
        <v>960</v>
      </c>
      <c r="O37" s="144">
        <f>N37*H37</f>
        <v>4800</v>
      </c>
      <c r="AE37" s="183"/>
      <c r="AF37" s="183"/>
      <c r="AG37" s="183"/>
      <c r="AH37" s="183"/>
      <c r="AI37" s="206"/>
    </row>
    <row r="38" spans="1:35">
      <c r="A38" s="679"/>
      <c r="B38" s="133"/>
      <c r="C38" s="274" t="s">
        <v>168</v>
      </c>
      <c r="D38" s="483"/>
      <c r="E38" s="483"/>
      <c r="F38" s="483"/>
      <c r="G38" s="33"/>
      <c r="H38" s="710">
        <v>8</v>
      </c>
      <c r="I38" s="63"/>
      <c r="J38" s="64"/>
      <c r="K38" s="64"/>
      <c r="L38" s="310">
        <v>650</v>
      </c>
      <c r="M38" s="312">
        <f>L38*H$38</f>
        <v>5200</v>
      </c>
      <c r="N38" s="313">
        <f t="shared" si="1"/>
        <v>975</v>
      </c>
      <c r="O38" s="691">
        <f>N38*H$38</f>
        <v>7800</v>
      </c>
      <c r="AE38" s="183"/>
      <c r="AF38" s="183"/>
      <c r="AG38" s="183"/>
      <c r="AH38" s="183"/>
      <c r="AI38" s="206"/>
    </row>
    <row r="39" spans="1:35">
      <c r="A39" s="679"/>
      <c r="B39" s="133"/>
      <c r="C39" s="233"/>
      <c r="D39" s="483"/>
      <c r="F39" s="483"/>
      <c r="G39" s="33"/>
      <c r="H39" s="533"/>
      <c r="I39" s="63"/>
      <c r="J39" s="64"/>
      <c r="K39" s="64"/>
      <c r="L39" s="310"/>
      <c r="M39" s="312"/>
      <c r="N39" s="313"/>
      <c r="O39" s="691"/>
      <c r="AE39" s="183"/>
      <c r="AF39" s="183"/>
      <c r="AG39" s="183"/>
      <c r="AH39" s="183"/>
      <c r="AI39" s="206"/>
    </row>
    <row r="40" spans="1:35">
      <c r="A40" s="679"/>
      <c r="B40" s="133"/>
      <c r="C40" s="38"/>
      <c r="D40" s="483"/>
      <c r="E40" s="483"/>
      <c r="F40" s="483"/>
      <c r="G40" s="33"/>
      <c r="H40" s="520"/>
      <c r="I40" s="63"/>
      <c r="J40" s="271" t="s">
        <v>169</v>
      </c>
      <c r="K40" s="64"/>
      <c r="L40" s="315">
        <f>M42/F13</f>
        <v>1060.7468198228612</v>
      </c>
      <c r="M40" s="316"/>
      <c r="N40" s="317">
        <f>O42/F13</f>
        <v>1591.120229734292</v>
      </c>
      <c r="O40" s="691"/>
      <c r="AE40" s="183"/>
      <c r="AF40" s="183"/>
      <c r="AG40" s="183"/>
      <c r="AH40" s="183"/>
      <c r="AI40" s="206"/>
    </row>
    <row r="41" spans="1:35" ht="16.2" thickBot="1">
      <c r="A41" s="690"/>
      <c r="C41" s="43"/>
      <c r="D41" s="483"/>
      <c r="E41" s="483"/>
      <c r="F41" s="486"/>
      <c r="G41" s="33"/>
      <c r="H41" s="533"/>
      <c r="I41" s="35"/>
      <c r="J41" s="271" t="s">
        <v>170</v>
      </c>
      <c r="K41" s="64"/>
      <c r="L41" s="315">
        <f>M42/G13</f>
        <v>238.70944324111412</v>
      </c>
      <c r="M41" s="312"/>
      <c r="N41" s="317">
        <f>O42/G13</f>
        <v>358.0641648616712</v>
      </c>
      <c r="O41" s="692"/>
      <c r="U41" s="216"/>
      <c r="V41" s="216"/>
      <c r="W41" s="216"/>
      <c r="X41" s="199"/>
      <c r="Y41" s="199"/>
      <c r="Z41" s="221"/>
      <c r="AA41" s="183"/>
      <c r="AB41" s="216"/>
      <c r="AC41" s="216"/>
      <c r="AD41" s="216"/>
      <c r="AE41" s="216"/>
      <c r="AF41" s="216"/>
      <c r="AG41" s="216"/>
      <c r="AH41" s="183"/>
      <c r="AI41" s="341"/>
    </row>
    <row r="42" spans="1:35" ht="16.2" thickBot="1">
      <c r="A42" s="644"/>
      <c r="B42" s="645"/>
      <c r="C42" s="646"/>
      <c r="D42" s="647"/>
      <c r="E42" s="647"/>
      <c r="F42" s="647"/>
      <c r="G42" s="648"/>
      <c r="H42" s="649"/>
      <c r="I42" s="650"/>
      <c r="J42" s="651"/>
      <c r="K42" s="675"/>
      <c r="L42" s="652" t="s">
        <v>140</v>
      </c>
      <c r="M42" s="652">
        <f>SUM(M16:M41)</f>
        <v>51976.594171320197</v>
      </c>
      <c r="N42" s="653" t="s">
        <v>140</v>
      </c>
      <c r="O42" s="654">
        <f>SUM(O14:O41)</f>
        <v>77964.891256980307</v>
      </c>
      <c r="U42" s="216"/>
      <c r="V42" s="216"/>
      <c r="W42" s="216"/>
      <c r="X42" s="199"/>
      <c r="Y42" s="199"/>
      <c r="Z42" s="221"/>
      <c r="AA42" s="183"/>
      <c r="AB42" s="216"/>
      <c r="AC42" s="216"/>
      <c r="AD42" s="216"/>
      <c r="AE42" s="216"/>
      <c r="AF42" s="216"/>
      <c r="AG42" s="216"/>
      <c r="AH42" s="183"/>
      <c r="AI42" s="341"/>
    </row>
    <row r="43" spans="1:35">
      <c r="A43" t="s">
        <v>141</v>
      </c>
      <c r="B43" s="133"/>
      <c r="C43" s="38"/>
      <c r="D43" s="486"/>
      <c r="E43" s="486"/>
      <c r="F43" s="486"/>
      <c r="G43" s="80"/>
      <c r="H43" s="478"/>
      <c r="I43" s="63"/>
      <c r="J43" s="64"/>
      <c r="K43" s="64"/>
      <c r="L43" s="64"/>
      <c r="M43" s="81"/>
      <c r="N43" s="41"/>
      <c r="O43" s="41"/>
    </row>
    <row r="44" spans="1:35">
      <c r="A44" t="s">
        <v>171</v>
      </c>
      <c r="D44"/>
      <c r="E44"/>
      <c r="F44"/>
      <c r="G44"/>
      <c r="H44"/>
    </row>
    <row r="45" spans="1:35" ht="16.2" thickBot="1">
      <c r="D45"/>
      <c r="E45"/>
      <c r="F45"/>
      <c r="G45"/>
      <c r="H45"/>
    </row>
    <row r="46" spans="1:35" ht="16.2" thickBot="1">
      <c r="A46" s="428"/>
      <c r="B46" s="779"/>
      <c r="C46" s="787" t="s">
        <v>172</v>
      </c>
      <c r="D46" s="506"/>
      <c r="E46" s="506"/>
      <c r="F46" s="506"/>
      <c r="G46" s="780" t="s">
        <v>11</v>
      </c>
      <c r="H46" s="781">
        <f>G13</f>
        <v>217.74000000000004</v>
      </c>
      <c r="I46" s="782">
        <v>0.05</v>
      </c>
      <c r="J46" s="783"/>
      <c r="K46" s="779"/>
      <c r="L46" s="784">
        <v>167</v>
      </c>
      <c r="M46" s="652">
        <f>H46*(1+I46)*L46</f>
        <v>38180.70900000001</v>
      </c>
      <c r="N46" s="785">
        <f>L46*1.5</f>
        <v>250.5</v>
      </c>
      <c r="O46" s="786">
        <f>H46*(1+I46)*N46</f>
        <v>57271.063500000011</v>
      </c>
    </row>
  </sheetData>
  <mergeCells count="12">
    <mergeCell ref="K1:M1"/>
    <mergeCell ref="AF22:AG22"/>
    <mergeCell ref="AE30:AH32"/>
    <mergeCell ref="J6:K6"/>
    <mergeCell ref="L6:M6"/>
    <mergeCell ref="U12:W12"/>
    <mergeCell ref="U14:V14"/>
    <mergeCell ref="C32:D32"/>
    <mergeCell ref="U17:V17"/>
    <mergeCell ref="U18:V18"/>
    <mergeCell ref="U19:V19"/>
    <mergeCell ref="AB22:AD22"/>
  </mergeCells>
  <pageMargins left="0.7" right="0.7" top="0.75" bottom="0.75" header="0.3" footer="0.3"/>
  <pageSetup paperSize="9" scale="45" orientation="portrait" r:id="rId1"/>
  <colBreaks count="1" manualBreakCount="1">
    <brk id="15" max="52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I79"/>
  <sheetViews>
    <sheetView view="pageBreakPreview" topLeftCell="A28" zoomScale="75" zoomScaleNormal="75" zoomScaleSheetLayoutView="75" workbookViewId="0">
      <selection activeCell="G69" sqref="G69"/>
    </sheetView>
  </sheetViews>
  <sheetFormatPr defaultRowHeight="15.6"/>
  <cols>
    <col min="1" max="1" width="18.59765625" customWidth="1"/>
    <col min="3" max="3" width="24.09765625" customWidth="1"/>
    <col min="4" max="6" width="9" style="485" customWidth="1"/>
    <col min="7" max="7" width="11.3984375" style="192" customWidth="1"/>
    <col min="8" max="8" width="10.69921875" style="259" bestFit="1" customWidth="1"/>
    <col min="9" max="9" width="11.59765625" bestFit="1" customWidth="1"/>
    <col min="12" max="12" width="10.69921875" bestFit="1" customWidth="1"/>
    <col min="13" max="13" width="12" customWidth="1"/>
    <col min="14" max="14" width="10.59765625" bestFit="1" customWidth="1"/>
    <col min="15" max="16" width="11.09765625" bestFit="1" customWidth="1"/>
    <col min="17" max="17" width="14.8984375" bestFit="1" customWidth="1"/>
    <col min="18" max="18" width="9.59765625" customWidth="1"/>
    <col min="21" max="21" width="18.8984375" customWidth="1"/>
    <col min="22" max="22" width="13.69921875" customWidth="1"/>
    <col min="23" max="23" width="8.19921875" bestFit="1" customWidth="1"/>
    <col min="24" max="25" width="9.3984375" bestFit="1" customWidth="1"/>
    <col min="26" max="26" width="9.09765625" bestFit="1" customWidth="1"/>
    <col min="27" max="27" width="9.3984375" bestFit="1" customWidth="1"/>
    <col min="28" max="28" width="17.8984375" bestFit="1" customWidth="1"/>
    <col min="29" max="30" width="9.3984375" bestFit="1" customWidth="1"/>
    <col min="31" max="35" width="9.09765625" bestFit="1" customWidth="1"/>
    <col min="37" max="37" width="15.19921875" customWidth="1"/>
  </cols>
  <sheetData>
    <row r="1" spans="1:35">
      <c r="A1" s="94" t="s">
        <v>0</v>
      </c>
      <c r="B1" s="128"/>
      <c r="C1" s="54"/>
      <c r="D1" s="486"/>
      <c r="E1" s="486"/>
      <c r="F1" s="486"/>
      <c r="G1" s="80"/>
      <c r="H1" s="478"/>
      <c r="I1" s="50"/>
      <c r="J1" s="47"/>
      <c r="K1" s="937" t="str">
        <f>SUMMARY!N1</f>
        <v>PROPOSED BUILDING WORKS</v>
      </c>
      <c r="L1" s="937"/>
      <c r="M1" s="937"/>
      <c r="N1" s="2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</row>
    <row r="2" spans="1:35">
      <c r="A2" s="94">
        <f>SUMMARY!A2</f>
        <v>0</v>
      </c>
      <c r="B2" s="128"/>
      <c r="C2" s="54"/>
      <c r="D2" s="486"/>
      <c r="E2" s="486"/>
      <c r="F2" s="486"/>
      <c r="G2" s="80"/>
      <c r="H2" s="478"/>
      <c r="I2" s="50"/>
      <c r="J2" s="47"/>
      <c r="K2" s="47"/>
      <c r="L2" s="47"/>
      <c r="M2" s="53" t="str">
        <f>SUMMARY!N2</f>
        <v>261-263 Balwyn Road, Balwyn North</v>
      </c>
      <c r="N2" s="2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</row>
    <row r="3" spans="1:35">
      <c r="A3" s="49"/>
      <c r="B3" s="128"/>
      <c r="C3" s="54"/>
      <c r="D3" s="486"/>
      <c r="E3" s="486"/>
      <c r="F3" s="486"/>
      <c r="G3" s="80"/>
      <c r="H3" s="478"/>
      <c r="I3" s="50"/>
      <c r="J3" s="47"/>
      <c r="K3" s="47"/>
      <c r="L3" s="47"/>
      <c r="M3" s="51" t="str">
        <f>SUMMARY!N3</f>
        <v>ESTIMATE - V1</v>
      </c>
      <c r="N3" s="22"/>
      <c r="O3" s="52"/>
      <c r="P3" s="52"/>
      <c r="Q3" s="52"/>
      <c r="R3" s="52"/>
      <c r="S3" s="52"/>
      <c r="T3" s="52"/>
      <c r="X3" s="37"/>
      <c r="Y3" s="37"/>
      <c r="Z3" s="37"/>
      <c r="AA3" s="52"/>
    </row>
    <row r="4" spans="1:35">
      <c r="A4" s="102" t="s">
        <v>98</v>
      </c>
      <c r="B4" s="129" t="s">
        <v>99</v>
      </c>
      <c r="C4" s="55"/>
      <c r="D4" s="482" t="s">
        <v>100</v>
      </c>
      <c r="E4" s="482" t="s">
        <v>101</v>
      </c>
      <c r="F4" s="482" t="s">
        <v>102</v>
      </c>
      <c r="G4" s="58" t="s">
        <v>103</v>
      </c>
      <c r="H4" s="518" t="s">
        <v>104</v>
      </c>
      <c r="I4" s="59" t="s">
        <v>105</v>
      </c>
      <c r="J4" s="60" t="s">
        <v>106</v>
      </c>
      <c r="K4" s="60" t="s">
        <v>107</v>
      </c>
      <c r="L4" s="154" t="s">
        <v>108</v>
      </c>
      <c r="M4" s="154" t="s">
        <v>109</v>
      </c>
      <c r="N4" s="144" t="s">
        <v>108</v>
      </c>
      <c r="O4" s="144" t="s">
        <v>109</v>
      </c>
      <c r="P4" s="32"/>
      <c r="Q4" s="32"/>
      <c r="R4" s="32"/>
      <c r="S4" s="32"/>
      <c r="T4" s="32"/>
      <c r="U4" s="199"/>
      <c r="V4" s="199"/>
      <c r="W4" s="189"/>
      <c r="X4" s="198"/>
      <c r="Y4" s="627"/>
      <c r="Z4" s="199"/>
      <c r="AA4" s="199"/>
      <c r="AB4" s="199"/>
      <c r="AC4" s="199"/>
      <c r="AD4" s="199"/>
      <c r="AE4" s="199"/>
      <c r="AF4" s="199"/>
      <c r="AG4" s="199"/>
      <c r="AH4" s="183"/>
      <c r="AI4" s="206"/>
    </row>
    <row r="5" spans="1:35">
      <c r="A5" s="83">
        <v>3</v>
      </c>
      <c r="B5" s="365" t="s">
        <v>173</v>
      </c>
      <c r="C5" s="300"/>
      <c r="D5" s="489"/>
      <c r="E5" s="489"/>
      <c r="F5" s="489"/>
      <c r="G5" s="608"/>
      <c r="H5" s="547"/>
      <c r="I5" s="300"/>
      <c r="J5" s="300"/>
      <c r="K5" s="300"/>
      <c r="L5" s="391"/>
      <c r="M5" s="450"/>
      <c r="N5" s="448"/>
      <c r="O5" s="448"/>
      <c r="U5" s="216"/>
      <c r="V5" s="216"/>
      <c r="W5" s="216"/>
      <c r="X5" s="192"/>
      <c r="Y5" s="192"/>
      <c r="Z5" s="192"/>
      <c r="AA5" s="192"/>
      <c r="AB5" s="192"/>
      <c r="AC5" s="183"/>
      <c r="AD5" s="183"/>
      <c r="AE5" s="183"/>
      <c r="AF5" s="183"/>
      <c r="AG5" s="183"/>
      <c r="AH5" s="183"/>
      <c r="AI5" s="206"/>
    </row>
    <row r="6" spans="1:35">
      <c r="A6" s="248"/>
      <c r="B6" s="183"/>
      <c r="C6" s="183"/>
      <c r="G6" s="565"/>
      <c r="H6" s="298"/>
      <c r="I6" s="183"/>
      <c r="J6" s="183"/>
      <c r="K6" s="183"/>
      <c r="L6" s="392"/>
      <c r="M6" s="403"/>
      <c r="N6" s="389"/>
      <c r="O6" s="389"/>
      <c r="U6" s="216"/>
      <c r="V6" s="216"/>
      <c r="W6" s="216"/>
      <c r="X6" s="192"/>
      <c r="Y6" s="192"/>
      <c r="Z6" s="192"/>
      <c r="AA6" s="192"/>
      <c r="AB6" s="192"/>
      <c r="AC6" s="183"/>
      <c r="AD6" s="183"/>
      <c r="AE6" s="183"/>
      <c r="AF6" s="183"/>
      <c r="AG6" s="183"/>
      <c r="AH6" s="183"/>
      <c r="AI6" s="206"/>
    </row>
    <row r="7" spans="1:35">
      <c r="A7" s="91"/>
      <c r="B7" s="37" t="s">
        <v>174</v>
      </c>
      <c r="C7" s="38"/>
      <c r="D7" s="494"/>
      <c r="E7" s="494"/>
      <c r="F7" s="486" t="s">
        <v>11</v>
      </c>
      <c r="G7" s="447">
        <v>0</v>
      </c>
      <c r="H7" s="520"/>
      <c r="I7" s="63"/>
      <c r="J7" s="64"/>
      <c r="K7" s="64"/>
      <c r="L7" s="245"/>
      <c r="M7" s="156"/>
      <c r="N7" s="380"/>
      <c r="O7" s="267"/>
      <c r="Q7" s="433" t="s">
        <v>175</v>
      </c>
      <c r="R7" s="440">
        <v>40</v>
      </c>
      <c r="S7" s="433">
        <v>3.6</v>
      </c>
      <c r="V7" s="628"/>
      <c r="W7" s="628"/>
      <c r="X7" s="219"/>
      <c r="Y7" s="219"/>
      <c r="Z7" s="219"/>
      <c r="AA7" s="219"/>
      <c r="AB7" s="219"/>
      <c r="AC7" s="194"/>
      <c r="AD7" s="194"/>
      <c r="AE7" s="194"/>
      <c r="AF7" s="194"/>
      <c r="AG7" s="194"/>
      <c r="AH7" s="183"/>
      <c r="AI7" s="206"/>
    </row>
    <row r="8" spans="1:35">
      <c r="A8" s="91"/>
      <c r="B8" s="131"/>
      <c r="C8" s="259" t="s">
        <v>176</v>
      </c>
      <c r="D8" s="494"/>
      <c r="E8" s="494"/>
      <c r="F8" s="486"/>
      <c r="G8" s="255"/>
      <c r="H8" s="520"/>
      <c r="I8" s="63"/>
      <c r="J8" s="64"/>
      <c r="K8" s="64"/>
      <c r="L8" s="379">
        <v>11.5</v>
      </c>
      <c r="M8" s="381">
        <f>L8*$G$7</f>
        <v>0</v>
      </c>
      <c r="N8" s="380">
        <f>L8*1.5</f>
        <v>17.25</v>
      </c>
      <c r="O8" s="267">
        <f>$G$7*N8</f>
        <v>0</v>
      </c>
      <c r="Q8" s="433"/>
      <c r="R8" s="441">
        <f>R7/S7</f>
        <v>11.111111111111111</v>
      </c>
      <c r="S8" s="433"/>
      <c r="V8" s="414"/>
      <c r="W8" s="358"/>
      <c r="X8" s="213"/>
      <c r="Y8" s="200"/>
      <c r="Z8" s="200"/>
      <c r="AA8" s="196"/>
      <c r="AB8" s="196"/>
      <c r="AC8" s="196"/>
      <c r="AD8" s="196"/>
      <c r="AE8" s="196"/>
      <c r="AF8" s="196"/>
      <c r="AG8" s="196"/>
      <c r="AH8" s="183"/>
      <c r="AI8" s="206"/>
    </row>
    <row r="9" spans="1:35">
      <c r="A9" s="91"/>
      <c r="B9" s="131"/>
      <c r="C9" s="259" t="s">
        <v>177</v>
      </c>
      <c r="D9" s="494"/>
      <c r="E9" s="494"/>
      <c r="F9" s="486"/>
      <c r="G9" s="387"/>
      <c r="H9" s="520"/>
      <c r="I9" s="63"/>
      <c r="J9" s="64"/>
      <c r="K9" s="64"/>
      <c r="L9" s="379">
        <v>10.5</v>
      </c>
      <c r="M9" s="381">
        <f>L9*$G$7</f>
        <v>0</v>
      </c>
      <c r="N9" s="380">
        <f>L9*1.5</f>
        <v>15.75</v>
      </c>
      <c r="O9" s="267">
        <f>$G$7*N9</f>
        <v>0</v>
      </c>
      <c r="Q9" s="442" t="s">
        <v>178</v>
      </c>
      <c r="R9" s="440">
        <v>10.5</v>
      </c>
      <c r="S9" s="433"/>
      <c r="V9" s="414"/>
      <c r="W9" s="358"/>
      <c r="X9" s="213"/>
      <c r="Y9" s="200"/>
      <c r="Z9" s="200"/>
      <c r="AA9" s="196"/>
      <c r="AB9" s="196"/>
      <c r="AC9" s="196"/>
      <c r="AD9" s="196"/>
      <c r="AE9" s="196"/>
      <c r="AF9" s="196"/>
      <c r="AG9" s="196"/>
      <c r="AH9" s="183"/>
      <c r="AI9" s="206"/>
    </row>
    <row r="10" spans="1:35">
      <c r="A10" s="91"/>
      <c r="B10" s="131"/>
      <c r="C10" s="259" t="s">
        <v>179</v>
      </c>
      <c r="E10" s="494"/>
      <c r="F10" s="486"/>
      <c r="G10" s="563"/>
      <c r="H10" s="520"/>
      <c r="I10" s="63"/>
      <c r="J10" s="64"/>
      <c r="K10" s="64"/>
      <c r="L10" s="379">
        <v>1.5</v>
      </c>
      <c r="M10" s="381">
        <f>L10*$G$7</f>
        <v>0</v>
      </c>
      <c r="N10" s="380">
        <f>L10*1.5</f>
        <v>2.25</v>
      </c>
      <c r="O10" s="267">
        <f>$G$7*N10</f>
        <v>0</v>
      </c>
      <c r="Q10" s="433"/>
      <c r="R10" s="433"/>
      <c r="S10" s="433"/>
      <c r="V10" s="414"/>
      <c r="W10" s="358"/>
      <c r="X10" s="220"/>
      <c r="Y10" s="200"/>
      <c r="Z10" s="200"/>
      <c r="AA10" s="196"/>
      <c r="AB10" s="196"/>
      <c r="AC10" s="196"/>
      <c r="AD10" s="196"/>
      <c r="AE10" s="196"/>
      <c r="AF10" s="196"/>
      <c r="AG10" s="196"/>
      <c r="AH10" s="183"/>
      <c r="AI10" s="206"/>
    </row>
    <row r="11" spans="1:35">
      <c r="A11" s="368"/>
      <c r="B11" s="362"/>
      <c r="C11" s="259" t="s">
        <v>180</v>
      </c>
      <c r="D11" s="495"/>
      <c r="E11" s="495"/>
      <c r="F11" s="495"/>
      <c r="G11" s="564"/>
      <c r="H11" s="541"/>
      <c r="I11" s="362"/>
      <c r="J11" s="362"/>
      <c r="K11" s="183"/>
      <c r="L11" s="379">
        <v>1</v>
      </c>
      <c r="M11" s="381">
        <f>L11*$G$7</f>
        <v>0</v>
      </c>
      <c r="N11" s="380">
        <f>L11*1.5</f>
        <v>1.5</v>
      </c>
      <c r="O11" s="267">
        <f>$G$7*N11</f>
        <v>0</v>
      </c>
      <c r="Q11" s="433" t="s">
        <v>139</v>
      </c>
      <c r="R11" s="433"/>
      <c r="S11" s="433"/>
      <c r="V11" s="414"/>
      <c r="W11" s="358"/>
      <c r="X11" s="625"/>
      <c r="Y11" s="625"/>
      <c r="Z11" s="625"/>
      <c r="AA11" s="200"/>
      <c r="AB11" s="183"/>
      <c r="AC11" s="332"/>
      <c r="AD11" s="332"/>
      <c r="AE11" s="332"/>
      <c r="AF11" s="332"/>
      <c r="AG11" s="332"/>
      <c r="AH11" s="183"/>
      <c r="AI11" s="206"/>
    </row>
    <row r="12" spans="1:35" ht="15.75" customHeight="1">
      <c r="A12" s="371"/>
      <c r="B12" s="364"/>
      <c r="C12" s="259" t="s">
        <v>181</v>
      </c>
      <c r="G12" s="565"/>
      <c r="H12" s="298"/>
      <c r="I12" s="183"/>
      <c r="J12" s="183"/>
      <c r="K12" s="183"/>
      <c r="L12" s="379">
        <v>16</v>
      </c>
      <c r="M12" s="381">
        <f>L12*$G$7</f>
        <v>0</v>
      </c>
      <c r="N12" s="380">
        <f>L12*1.5</f>
        <v>24</v>
      </c>
      <c r="O12" s="267">
        <f>$G$7*N12</f>
        <v>0</v>
      </c>
      <c r="Q12" s="433" t="s">
        <v>135</v>
      </c>
      <c r="R12" s="433">
        <v>2</v>
      </c>
      <c r="S12" s="433">
        <v>400</v>
      </c>
      <c r="V12" s="414"/>
      <c r="W12" s="358"/>
    </row>
    <row r="13" spans="1:35">
      <c r="A13" s="374"/>
      <c r="B13" s="356"/>
      <c r="C13" s="356"/>
      <c r="G13" s="253" t="s">
        <v>10</v>
      </c>
      <c r="H13" s="298"/>
      <c r="L13" s="179"/>
      <c r="M13" s="182"/>
      <c r="N13" s="268"/>
      <c r="O13" s="268"/>
      <c r="Q13" s="433" t="s">
        <v>137</v>
      </c>
      <c r="R13" s="433">
        <v>2</v>
      </c>
      <c r="S13" s="433"/>
      <c r="V13" s="414"/>
      <c r="W13" s="358"/>
      <c r="X13" s="199"/>
      <c r="Y13" s="199"/>
      <c r="Z13" s="221"/>
      <c r="AA13" s="183"/>
      <c r="AB13" s="183"/>
      <c r="AC13" s="183"/>
      <c r="AD13" s="183"/>
      <c r="AE13" s="183"/>
      <c r="AF13" s="183"/>
      <c r="AG13" s="183"/>
      <c r="AH13" s="183"/>
      <c r="AI13" s="206"/>
    </row>
    <row r="14" spans="1:35">
      <c r="A14" s="254"/>
      <c r="B14" s="183"/>
      <c r="C14" s="364" t="s">
        <v>85</v>
      </c>
      <c r="D14" s="485">
        <f>G7</f>
        <v>0</v>
      </c>
      <c r="E14" s="496">
        <v>0.45</v>
      </c>
      <c r="F14" s="496">
        <v>0.55000000000000004</v>
      </c>
      <c r="G14" s="566">
        <f>D14*E14*F14</f>
        <v>0</v>
      </c>
      <c r="H14" s="298"/>
      <c r="I14" s="296">
        <v>0.05</v>
      </c>
      <c r="J14" s="258"/>
      <c r="K14" s="242" t="s">
        <v>91</v>
      </c>
      <c r="L14" s="245">
        <f>VLOOKUP(K14,Costings!$A$49:$B$59,2)*(1+I14)</f>
        <v>165.9</v>
      </c>
      <c r="M14" s="156">
        <f>L14*G14</f>
        <v>0</v>
      </c>
      <c r="N14" s="380">
        <f>L14*1.5</f>
        <v>248.85000000000002</v>
      </c>
      <c r="O14" s="267">
        <f>N14*G14</f>
        <v>0</v>
      </c>
      <c r="Q14" s="433" t="s">
        <v>182</v>
      </c>
      <c r="R14" s="433">
        <v>0</v>
      </c>
      <c r="S14" s="433">
        <v>250</v>
      </c>
      <c r="V14" s="414"/>
      <c r="W14" s="358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83"/>
      <c r="AI14" s="206"/>
    </row>
    <row r="15" spans="1:35">
      <c r="A15" s="254"/>
      <c r="B15" s="183"/>
      <c r="C15" s="364"/>
      <c r="G15" s="253"/>
      <c r="H15" s="542"/>
      <c r="I15" s="241"/>
      <c r="J15" s="258"/>
      <c r="K15" s="233"/>
      <c r="L15" s="245"/>
      <c r="M15" s="156"/>
      <c r="N15" s="380"/>
      <c r="O15" s="267"/>
      <c r="Q15" s="433"/>
      <c r="R15" s="433"/>
      <c r="S15" s="433"/>
      <c r="V15" s="414"/>
      <c r="W15" s="358"/>
      <c r="X15" s="192"/>
      <c r="Y15" s="192"/>
      <c r="Z15" s="192"/>
      <c r="AA15" s="192"/>
      <c r="AB15" s="192"/>
      <c r="AC15" s="192"/>
      <c r="AD15" s="192"/>
      <c r="AE15" s="192"/>
      <c r="AF15" s="192"/>
      <c r="AG15" s="192"/>
      <c r="AH15" s="183"/>
      <c r="AI15" s="206"/>
    </row>
    <row r="16" spans="1:35">
      <c r="A16" s="375"/>
      <c r="B16" s="370"/>
      <c r="C16" s="376" t="s">
        <v>183</v>
      </c>
      <c r="D16" s="497"/>
      <c r="E16" s="497"/>
      <c r="F16" s="497"/>
      <c r="G16" s="386">
        <f>G14</f>
        <v>0</v>
      </c>
      <c r="H16" s="543"/>
      <c r="I16" s="377">
        <v>0.05</v>
      </c>
      <c r="J16" s="378"/>
      <c r="K16" s="382"/>
      <c r="L16" s="303">
        <v>210</v>
      </c>
      <c r="M16" s="286">
        <f>G16*(1+I16)*L16</f>
        <v>0</v>
      </c>
      <c r="N16" s="449">
        <f>L16*1.5</f>
        <v>315</v>
      </c>
      <c r="O16" s="304">
        <f>G16*(1+I16)*N16</f>
        <v>0</v>
      </c>
      <c r="P16" s="383"/>
      <c r="Q16" s="433"/>
      <c r="R16" s="433"/>
      <c r="S16" s="433"/>
      <c r="V16" s="414"/>
      <c r="W16" s="358"/>
      <c r="X16" s="192"/>
      <c r="Y16" s="192"/>
      <c r="Z16" s="192"/>
      <c r="AA16" s="192"/>
      <c r="AB16" s="192"/>
      <c r="AC16" s="192"/>
      <c r="AD16" s="192"/>
      <c r="AE16" s="192"/>
      <c r="AF16" s="192"/>
      <c r="AG16" s="192"/>
      <c r="AH16" s="183"/>
      <c r="AI16" s="206"/>
    </row>
    <row r="17" spans="1:35">
      <c r="A17" s="299" t="s">
        <v>184</v>
      </c>
      <c r="B17" s="402" t="s">
        <v>185</v>
      </c>
      <c r="C17" s="367"/>
      <c r="D17" s="489"/>
      <c r="E17" s="498"/>
      <c r="F17" s="498" t="s">
        <v>11</v>
      </c>
      <c r="G17" s="567">
        <v>114</v>
      </c>
      <c r="H17" s="544"/>
      <c r="I17" s="300"/>
      <c r="J17" s="300"/>
      <c r="K17" s="300"/>
      <c r="L17" s="391"/>
      <c r="M17" s="391"/>
      <c r="N17" s="395"/>
      <c r="O17" s="388"/>
      <c r="Q17" s="433"/>
      <c r="R17" s="433"/>
      <c r="S17" s="440">
        <f>(R12*S12*R13+R14*S14)/100</f>
        <v>16</v>
      </c>
      <c r="V17" s="414"/>
      <c r="W17" s="358"/>
      <c r="X17" s="196"/>
      <c r="Y17" s="196"/>
      <c r="Z17" s="196"/>
      <c r="AA17" s="196"/>
      <c r="AB17" s="196"/>
      <c r="AC17" s="196"/>
      <c r="AD17" s="196"/>
      <c r="AE17" s="196"/>
      <c r="AF17" s="196"/>
      <c r="AG17" s="196"/>
      <c r="AH17" s="196"/>
      <c r="AI17" s="206"/>
    </row>
    <row r="18" spans="1:35">
      <c r="A18" s="299" t="s">
        <v>186</v>
      </c>
      <c r="B18" s="402"/>
      <c r="C18" s="367"/>
      <c r="D18" s="489"/>
      <c r="E18" s="498"/>
      <c r="F18" s="498" t="s">
        <v>11</v>
      </c>
      <c r="G18" s="567"/>
      <c r="H18" s="544"/>
      <c r="I18" s="300"/>
      <c r="J18" s="300"/>
      <c r="K18" s="300"/>
      <c r="L18" s="392"/>
      <c r="M18" s="392"/>
      <c r="N18" s="396"/>
      <c r="O18" s="389"/>
      <c r="Q18" s="433"/>
      <c r="R18" s="433"/>
      <c r="S18" s="440"/>
      <c r="V18" s="414"/>
      <c r="W18" s="358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206"/>
    </row>
    <row r="19" spans="1:35">
      <c r="A19" s="299" t="s">
        <v>187</v>
      </c>
      <c r="B19" s="402"/>
      <c r="C19" s="367"/>
      <c r="D19" s="489"/>
      <c r="E19" s="498"/>
      <c r="F19" s="498" t="s">
        <v>11</v>
      </c>
      <c r="G19" s="567"/>
      <c r="H19" s="544"/>
      <c r="I19" s="300"/>
      <c r="J19" s="300"/>
      <c r="K19" s="300"/>
      <c r="L19" s="392"/>
      <c r="M19" s="392"/>
      <c r="N19" s="396"/>
      <c r="O19" s="389"/>
      <c r="Q19" s="433"/>
      <c r="R19" s="433"/>
      <c r="S19" s="440"/>
      <c r="V19" s="414"/>
      <c r="W19" s="358"/>
      <c r="X19" s="196"/>
      <c r="Y19" s="196"/>
      <c r="Z19" s="196"/>
      <c r="AA19" s="196"/>
      <c r="AB19" s="196"/>
      <c r="AC19" s="196"/>
      <c r="AD19" s="196"/>
      <c r="AE19" s="196"/>
      <c r="AF19" s="196"/>
      <c r="AG19" s="196"/>
      <c r="AH19" s="196"/>
      <c r="AI19" s="206"/>
    </row>
    <row r="20" spans="1:35">
      <c r="A20" s="299" t="s">
        <v>188</v>
      </c>
      <c r="B20" s="402"/>
      <c r="C20" s="367"/>
      <c r="D20" s="489"/>
      <c r="E20" s="498"/>
      <c r="F20" s="498" t="s">
        <v>11</v>
      </c>
      <c r="G20" s="567"/>
      <c r="H20" s="544"/>
      <c r="I20" s="300"/>
      <c r="J20" s="300"/>
      <c r="K20" s="300"/>
      <c r="L20" s="392"/>
      <c r="M20" s="392"/>
      <c r="N20" s="396"/>
      <c r="O20" s="389"/>
      <c r="Q20" s="433"/>
      <c r="R20" s="433"/>
      <c r="S20" s="440"/>
      <c r="V20" s="414"/>
      <c r="W20" s="358"/>
      <c r="X20" s="196"/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206"/>
    </row>
    <row r="21" spans="1:35">
      <c r="A21" s="254"/>
      <c r="B21" s="880"/>
      <c r="C21" s="38"/>
      <c r="E21" s="486"/>
      <c r="F21" s="881" t="s">
        <v>189</v>
      </c>
      <c r="G21" s="882">
        <f>SUM(G17:G20)</f>
        <v>114</v>
      </c>
      <c r="H21" s="533"/>
      <c r="I21" s="183"/>
      <c r="J21" s="183"/>
      <c r="K21" s="183"/>
      <c r="L21" s="392"/>
      <c r="M21" s="392"/>
      <c r="N21" s="396"/>
      <c r="O21" s="389"/>
      <c r="Q21" s="433"/>
      <c r="R21" s="433"/>
      <c r="S21" s="440"/>
      <c r="V21" s="414"/>
      <c r="W21" s="358"/>
      <c r="X21" s="196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206"/>
    </row>
    <row r="22" spans="1:35">
      <c r="A22" s="254"/>
      <c r="B22" s="364"/>
      <c r="C22" s="259" t="s">
        <v>190</v>
      </c>
      <c r="E22" s="496">
        <v>0</v>
      </c>
      <c r="F22" s="485">
        <v>0</v>
      </c>
      <c r="G22" s="565">
        <f>G17*E22*F22</f>
        <v>0</v>
      </c>
      <c r="H22" s="298"/>
      <c r="I22" s="296">
        <v>0.05</v>
      </c>
      <c r="J22" s="183"/>
      <c r="K22" s="242" t="s">
        <v>88</v>
      </c>
      <c r="L22" s="245">
        <f>VLOOKUP(K22,Costings!$A$49:$B$59,2)*(1+I22)</f>
        <v>136.5</v>
      </c>
      <c r="M22" s="393">
        <f>G22*L22</f>
        <v>0</v>
      </c>
      <c r="N22" s="397">
        <f>L22*1.5</f>
        <v>204.75</v>
      </c>
      <c r="O22" s="390">
        <f>G22*N22</f>
        <v>0</v>
      </c>
      <c r="Q22" s="433"/>
      <c r="R22" s="433"/>
      <c r="S22" s="433"/>
      <c r="X22" s="196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206"/>
    </row>
    <row r="23" spans="1:35">
      <c r="A23" s="254"/>
      <c r="B23" s="183"/>
      <c r="C23" s="384"/>
      <c r="G23" s="565"/>
      <c r="H23" s="298"/>
      <c r="I23" s="183"/>
      <c r="J23" s="183"/>
      <c r="K23" s="183"/>
      <c r="L23" s="392"/>
      <c r="M23" s="392"/>
      <c r="N23" s="396"/>
      <c r="O23" s="389"/>
      <c r="Q23" s="433" t="s">
        <v>139</v>
      </c>
      <c r="R23" s="433"/>
      <c r="S23" s="433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206"/>
    </row>
    <row r="24" spans="1:35">
      <c r="A24" s="254"/>
      <c r="B24" s="183"/>
      <c r="C24" s="259" t="s">
        <v>191</v>
      </c>
      <c r="E24" s="496">
        <v>0</v>
      </c>
      <c r="F24" s="485" t="s">
        <v>11</v>
      </c>
      <c r="G24" s="568">
        <f>G17*E24</f>
        <v>0</v>
      </c>
      <c r="H24" s="298" t="s">
        <v>11</v>
      </c>
      <c r="I24" s="183"/>
      <c r="J24" s="183"/>
      <c r="K24" s="183"/>
      <c r="L24" s="379">
        <v>5</v>
      </c>
      <c r="M24" s="394">
        <f>G24*L24</f>
        <v>0</v>
      </c>
      <c r="N24" s="397">
        <f>L24*1.5</f>
        <v>7.5</v>
      </c>
      <c r="O24" s="390">
        <f>G24*N24</f>
        <v>0</v>
      </c>
      <c r="Q24" s="433" t="s">
        <v>135</v>
      </c>
      <c r="R24" s="433">
        <v>2</v>
      </c>
      <c r="S24" s="433">
        <v>400</v>
      </c>
      <c r="X24" s="196"/>
      <c r="Y24" s="196"/>
      <c r="Z24" s="196"/>
      <c r="AA24" s="196"/>
      <c r="AB24" s="196"/>
      <c r="AC24" s="196"/>
      <c r="AD24" s="196"/>
      <c r="AE24" s="196"/>
      <c r="AF24" s="196"/>
      <c r="AG24" s="196"/>
      <c r="AH24" s="196"/>
      <c r="AI24" s="206"/>
    </row>
    <row r="25" spans="1:35">
      <c r="A25" s="254"/>
      <c r="B25" s="183"/>
      <c r="C25" s="183"/>
      <c r="G25" s="565"/>
      <c r="H25" s="298"/>
      <c r="I25" s="183"/>
      <c r="J25" s="183"/>
      <c r="K25" s="183"/>
      <c r="L25" s="392"/>
      <c r="M25" s="392"/>
      <c r="N25" s="396"/>
      <c r="O25" s="389"/>
      <c r="Q25" s="433" t="s">
        <v>137</v>
      </c>
      <c r="R25" s="433">
        <v>4</v>
      </c>
      <c r="S25" s="433"/>
      <c r="X25" s="196"/>
      <c r="Y25" s="196"/>
      <c r="Z25" s="196"/>
      <c r="AA25" s="196"/>
      <c r="AB25" s="196"/>
      <c r="AC25" s="196"/>
      <c r="AD25" s="196"/>
      <c r="AE25" s="196"/>
      <c r="AF25" s="196"/>
      <c r="AG25" s="196"/>
      <c r="AH25" s="196"/>
      <c r="AI25" s="206"/>
    </row>
    <row r="26" spans="1:35">
      <c r="A26" s="254"/>
      <c r="B26" s="183"/>
      <c r="C26" s="183"/>
      <c r="F26" s="485" t="s">
        <v>11</v>
      </c>
      <c r="G26" s="568">
        <v>25</v>
      </c>
      <c r="H26" s="298"/>
      <c r="I26" s="183"/>
      <c r="J26" s="183"/>
      <c r="K26" s="183"/>
      <c r="L26" s="392"/>
      <c r="M26" s="392"/>
      <c r="N26" s="396"/>
      <c r="O26" s="389"/>
      <c r="Q26" s="433" t="s">
        <v>182</v>
      </c>
      <c r="R26" s="433">
        <v>4</v>
      </c>
      <c r="S26" s="433">
        <v>450</v>
      </c>
      <c r="X26" s="196"/>
      <c r="Y26" s="196"/>
      <c r="Z26" s="196"/>
      <c r="AA26" s="196"/>
      <c r="AB26" s="196"/>
      <c r="AC26" s="196"/>
      <c r="AD26" s="196"/>
      <c r="AE26" s="196"/>
      <c r="AF26" s="196"/>
      <c r="AG26" s="196"/>
      <c r="AH26" s="190"/>
      <c r="AI26" s="206"/>
    </row>
    <row r="27" spans="1:35">
      <c r="A27" s="254"/>
      <c r="B27" s="183"/>
      <c r="C27" s="259" t="s">
        <v>192</v>
      </c>
      <c r="G27" s="568"/>
      <c r="H27" s="298"/>
      <c r="I27" s="183"/>
      <c r="J27" s="183"/>
      <c r="K27" s="183"/>
      <c r="L27" s="379">
        <v>20</v>
      </c>
      <c r="M27" s="393">
        <f>L27*$G$26</f>
        <v>500</v>
      </c>
      <c r="N27" s="397">
        <f>L27*1.5</f>
        <v>30</v>
      </c>
      <c r="O27" s="390">
        <f>$G$26*N27</f>
        <v>750</v>
      </c>
      <c r="Q27" s="433"/>
      <c r="R27" s="433"/>
      <c r="S27" s="440">
        <f>(R24*S24*R25+R26*S26)/100</f>
        <v>50</v>
      </c>
      <c r="X27" s="332"/>
      <c r="Y27" s="332"/>
      <c r="Z27" s="332"/>
      <c r="AA27" s="332"/>
      <c r="AB27" s="332"/>
      <c r="AC27" s="332"/>
      <c r="AD27" s="332"/>
      <c r="AE27" s="332"/>
      <c r="AF27" s="332"/>
      <c r="AG27" s="332"/>
      <c r="AH27" s="332"/>
      <c r="AI27" s="206"/>
    </row>
    <row r="28" spans="1:35">
      <c r="A28" s="248"/>
      <c r="C28" s="259" t="s">
        <v>179</v>
      </c>
      <c r="G28" s="568"/>
      <c r="H28" s="298"/>
      <c r="I28" s="183"/>
      <c r="J28" s="183"/>
      <c r="K28" s="183"/>
      <c r="L28" s="379">
        <v>10</v>
      </c>
      <c r="M28" s="393">
        <f>L28*$G$26</f>
        <v>250</v>
      </c>
      <c r="N28" s="397">
        <f>L28*1.5</f>
        <v>15</v>
      </c>
      <c r="O28" s="390">
        <f>$G$26*N28</f>
        <v>375</v>
      </c>
      <c r="Q28" s="433"/>
      <c r="R28" s="433"/>
      <c r="S28" s="433"/>
      <c r="X28" s="332"/>
      <c r="Y28" s="332"/>
      <c r="Z28" s="332"/>
      <c r="AA28" s="332"/>
      <c r="AB28" s="332"/>
      <c r="AC28" s="332"/>
      <c r="AD28" s="332"/>
      <c r="AE28" s="332"/>
      <c r="AF28" s="332"/>
      <c r="AG28" s="332"/>
      <c r="AH28" s="190"/>
      <c r="AI28" s="206"/>
    </row>
    <row r="29" spans="1:35">
      <c r="A29" s="399"/>
      <c r="B29" s="373"/>
      <c r="C29" s="259" t="s">
        <v>180</v>
      </c>
      <c r="G29" s="568"/>
      <c r="H29" s="545"/>
      <c r="I29" s="363"/>
      <c r="J29" s="183"/>
      <c r="K29" s="183"/>
      <c r="L29" s="379">
        <v>4</v>
      </c>
      <c r="M29" s="393">
        <f>L29*$G$26</f>
        <v>100</v>
      </c>
      <c r="N29" s="397">
        <f>L29*1.5</f>
        <v>6</v>
      </c>
      <c r="O29" s="390">
        <f>$G$26*N29</f>
        <v>150</v>
      </c>
      <c r="Q29" s="433" t="s">
        <v>139</v>
      </c>
      <c r="R29" s="433"/>
      <c r="S29" s="433"/>
      <c r="X29" s="196"/>
      <c r="Y29" s="196"/>
      <c r="Z29" s="196"/>
      <c r="AA29" s="196"/>
      <c r="AB29" s="196"/>
      <c r="AC29" s="196"/>
      <c r="AD29" s="196"/>
      <c r="AE29" s="196"/>
      <c r="AF29" s="196"/>
      <c r="AG29" s="196"/>
      <c r="AH29" s="190"/>
      <c r="AI29" s="342"/>
    </row>
    <row r="30" spans="1:35">
      <c r="A30" s="248"/>
      <c r="C30" s="259" t="s">
        <v>181</v>
      </c>
      <c r="G30" s="569"/>
      <c r="H30" s="545"/>
      <c r="I30" s="363"/>
      <c r="J30" s="183"/>
      <c r="K30" s="183"/>
      <c r="L30" s="379">
        <v>25</v>
      </c>
      <c r="M30" s="910">
        <f>L30*$G$26</f>
        <v>625</v>
      </c>
      <c r="N30" s="397">
        <f>L30*1.5</f>
        <v>37.5</v>
      </c>
      <c r="O30" s="390">
        <f>$G$26*N30</f>
        <v>937.5</v>
      </c>
      <c r="Q30" s="433" t="s">
        <v>135</v>
      </c>
      <c r="R30" s="433">
        <v>1</v>
      </c>
      <c r="S30" s="433">
        <v>400</v>
      </c>
      <c r="X30" s="196"/>
      <c r="Y30" s="196"/>
      <c r="Z30" s="196"/>
      <c r="AA30" s="196"/>
      <c r="AB30" s="196"/>
      <c r="AC30" s="196"/>
      <c r="AD30" s="196"/>
      <c r="AE30" s="196"/>
      <c r="AF30" s="196"/>
      <c r="AG30" s="196"/>
      <c r="AI30" s="206"/>
    </row>
    <row r="31" spans="1:35">
      <c r="A31" s="248"/>
      <c r="C31" s="259"/>
      <c r="G31" s="569"/>
      <c r="H31" s="545"/>
      <c r="I31" s="363"/>
      <c r="J31" s="183"/>
      <c r="K31" s="183"/>
      <c r="L31" s="379"/>
      <c r="M31" s="393"/>
      <c r="N31" s="397"/>
      <c r="O31" s="390"/>
      <c r="Q31" s="433" t="s">
        <v>137</v>
      </c>
      <c r="R31" s="433">
        <v>1</v>
      </c>
      <c r="S31" s="433"/>
      <c r="X31" s="200"/>
      <c r="Y31" s="200"/>
      <c r="Z31" s="200"/>
      <c r="AA31" s="200"/>
      <c r="AB31" s="200"/>
      <c r="AC31" s="200"/>
      <c r="AD31" s="200"/>
      <c r="AE31" s="200"/>
      <c r="AF31" s="200"/>
      <c r="AG31" s="200"/>
      <c r="AH31" s="343"/>
      <c r="AI31" s="206"/>
    </row>
    <row r="32" spans="1:35">
      <c r="A32" s="299" t="s">
        <v>184</v>
      </c>
      <c r="B32" s="372"/>
      <c r="C32" s="398"/>
      <c r="D32" s="485">
        <f>G17</f>
        <v>114</v>
      </c>
      <c r="E32" s="609">
        <v>0.45</v>
      </c>
      <c r="F32" s="609">
        <v>0.55000000000000004</v>
      </c>
      <c r="G32" s="570">
        <v>4</v>
      </c>
      <c r="H32" s="298"/>
      <c r="I32" s="296"/>
      <c r="J32" s="183"/>
      <c r="K32" s="242"/>
      <c r="L32" s="245"/>
      <c r="M32" s="156"/>
      <c r="N32" s="224"/>
      <c r="O32" s="146"/>
      <c r="Q32" s="433" t="s">
        <v>193</v>
      </c>
      <c r="R32" s="433"/>
      <c r="S32" s="433">
        <v>100</v>
      </c>
      <c r="X32" s="200"/>
      <c r="Y32" s="200"/>
      <c r="Z32" s="200"/>
      <c r="AA32" s="200"/>
      <c r="AB32" s="200"/>
      <c r="AC32" s="200"/>
      <c r="AD32" s="200"/>
      <c r="AE32" s="200"/>
      <c r="AF32" s="200"/>
      <c r="AG32" s="200"/>
      <c r="AH32" s="343"/>
      <c r="AI32" s="206"/>
    </row>
    <row r="33" spans="1:35">
      <c r="A33" s="299" t="s">
        <v>186</v>
      </c>
      <c r="B33" s="372"/>
      <c r="C33" s="398"/>
      <c r="D33" s="485">
        <f t="shared" ref="D33:D35" si="0">G18</f>
        <v>0</v>
      </c>
      <c r="E33" s="609"/>
      <c r="F33" s="609"/>
      <c r="G33" s="570">
        <f t="shared" ref="G33:G35" si="1">D33*E33*F33</f>
        <v>0</v>
      </c>
      <c r="H33" s="298"/>
      <c r="I33" s="296"/>
      <c r="J33" s="183"/>
      <c r="K33" s="242"/>
      <c r="L33" s="245"/>
      <c r="M33" s="455"/>
      <c r="N33" s="224"/>
      <c r="O33" s="267"/>
      <c r="Q33" s="433"/>
      <c r="R33" s="433"/>
      <c r="S33" s="433"/>
      <c r="X33" s="200"/>
      <c r="Y33" s="200"/>
      <c r="Z33" s="200"/>
      <c r="AA33" s="200"/>
      <c r="AB33" s="200"/>
      <c r="AC33" s="200"/>
      <c r="AD33" s="200"/>
      <c r="AE33" s="200"/>
      <c r="AF33" s="200"/>
      <c r="AG33" s="200"/>
      <c r="AH33" s="343"/>
      <c r="AI33" s="206"/>
    </row>
    <row r="34" spans="1:35">
      <c r="A34" s="299" t="s">
        <v>187</v>
      </c>
      <c r="B34" s="372"/>
      <c r="C34" s="398"/>
      <c r="D34" s="485">
        <f t="shared" si="0"/>
        <v>0</v>
      </c>
      <c r="E34" s="609"/>
      <c r="F34" s="609"/>
      <c r="G34" s="570">
        <f t="shared" si="1"/>
        <v>0</v>
      </c>
      <c r="H34" s="298"/>
      <c r="I34" s="296"/>
      <c r="J34" s="183"/>
      <c r="K34" s="242"/>
      <c r="L34" s="245"/>
      <c r="M34" s="455"/>
      <c r="N34" s="224"/>
      <c r="O34" s="267"/>
      <c r="Q34" s="433"/>
      <c r="R34" s="433"/>
      <c r="S34" s="433"/>
      <c r="X34" s="200"/>
      <c r="Y34" s="200"/>
      <c r="Z34" s="200"/>
      <c r="AA34" s="200"/>
      <c r="AB34" s="200"/>
      <c r="AC34" s="200"/>
      <c r="AD34" s="200"/>
      <c r="AE34" s="200"/>
      <c r="AF34" s="200"/>
      <c r="AG34" s="200"/>
      <c r="AH34" s="343"/>
      <c r="AI34" s="206"/>
    </row>
    <row r="35" spans="1:35">
      <c r="A35" s="299" t="s">
        <v>188</v>
      </c>
      <c r="B35" s="372"/>
      <c r="C35" s="398"/>
      <c r="D35" s="485">
        <f t="shared" si="0"/>
        <v>0</v>
      </c>
      <c r="E35" s="609"/>
      <c r="F35" s="609"/>
      <c r="G35" s="570">
        <f t="shared" si="1"/>
        <v>0</v>
      </c>
      <c r="H35" s="298"/>
      <c r="I35" s="296"/>
      <c r="J35" s="183"/>
      <c r="K35" s="242"/>
      <c r="L35" s="245"/>
      <c r="M35" s="455"/>
      <c r="N35" s="224"/>
      <c r="O35" s="267"/>
      <c r="Q35" s="433"/>
      <c r="R35" s="433"/>
      <c r="S35" s="433"/>
      <c r="X35" s="200"/>
      <c r="Y35" s="200"/>
      <c r="Z35" s="200"/>
      <c r="AA35" s="200"/>
      <c r="AB35" s="200"/>
      <c r="AC35" s="200"/>
      <c r="AD35" s="200"/>
      <c r="AE35" s="200"/>
      <c r="AF35" s="200"/>
      <c r="AG35" s="200"/>
      <c r="AH35" s="343"/>
      <c r="AI35" s="206"/>
    </row>
    <row r="36" spans="1:35">
      <c r="A36" s="248"/>
      <c r="B36" s="372"/>
      <c r="C36" s="398" t="s">
        <v>85</v>
      </c>
      <c r="E36" s="609"/>
      <c r="F36" s="609"/>
      <c r="G36" s="883">
        <f>SUM(G32:G35)</f>
        <v>4</v>
      </c>
      <c r="H36" s="298"/>
      <c r="I36" s="296">
        <v>0.05</v>
      </c>
      <c r="J36" s="183">
        <f>SUM(J15:J32)-J26</f>
        <v>0</v>
      </c>
      <c r="K36" s="242" t="s">
        <v>92</v>
      </c>
      <c r="L36" s="245">
        <f>VLOOKUP(K36,Costings!$A$49:$B$59,2)*(1+I36)</f>
        <v>174.3</v>
      </c>
      <c r="M36" s="156">
        <f>L36*G36</f>
        <v>697.2</v>
      </c>
      <c r="N36" s="224">
        <f>L36*1.5</f>
        <v>261.45000000000005</v>
      </c>
      <c r="O36" s="146">
        <f>N36*G36</f>
        <v>1045.8000000000002</v>
      </c>
      <c r="Q36" s="433"/>
      <c r="R36" s="433"/>
      <c r="S36" s="433"/>
      <c r="X36" s="200"/>
      <c r="Y36" s="200"/>
      <c r="Z36" s="200"/>
      <c r="AA36" s="200"/>
      <c r="AB36" s="200"/>
      <c r="AC36" s="200"/>
      <c r="AD36" s="200"/>
      <c r="AE36" s="200"/>
      <c r="AF36" s="200"/>
      <c r="AG36" s="200"/>
      <c r="AH36" s="343"/>
      <c r="AI36" s="206"/>
    </row>
    <row r="37" spans="1:35">
      <c r="A37" s="248"/>
      <c r="B37" s="372"/>
      <c r="C37" s="398"/>
      <c r="G37" s="297"/>
      <c r="H37" s="298"/>
      <c r="I37" s="363"/>
      <c r="J37" s="183"/>
      <c r="K37" s="183"/>
      <c r="L37" s="403"/>
      <c r="M37" s="405"/>
      <c r="N37" s="389"/>
      <c r="O37" s="389"/>
      <c r="Q37" s="433"/>
      <c r="R37" s="433"/>
      <c r="S37" s="433"/>
      <c r="X37" s="196"/>
      <c r="Y37" s="196"/>
      <c r="Z37" s="196"/>
      <c r="AA37" s="196"/>
      <c r="AB37" s="196"/>
      <c r="AC37" s="196"/>
      <c r="AD37" s="196"/>
      <c r="AE37" s="196"/>
      <c r="AF37" s="196"/>
      <c r="AG37" s="196"/>
      <c r="AH37" s="183"/>
      <c r="AI37" s="206"/>
    </row>
    <row r="38" spans="1:35">
      <c r="A38" s="261"/>
      <c r="B38" s="400"/>
      <c r="C38" s="369" t="s">
        <v>194</v>
      </c>
      <c r="D38" s="497">
        <v>15</v>
      </c>
      <c r="E38" s="497">
        <v>0</v>
      </c>
      <c r="F38" s="497">
        <v>0</v>
      </c>
      <c r="G38" s="571">
        <f>D38</f>
        <v>15</v>
      </c>
      <c r="H38" s="546" t="s">
        <v>11</v>
      </c>
      <c r="I38" s="370"/>
      <c r="J38" s="262"/>
      <c r="K38" s="262"/>
      <c r="L38" s="406">
        <v>12</v>
      </c>
      <c r="M38" s="404">
        <f>G38*L38</f>
        <v>180</v>
      </c>
      <c r="N38" s="401">
        <f>L38*1.5</f>
        <v>18</v>
      </c>
      <c r="O38" s="401">
        <f>G38*N38</f>
        <v>270</v>
      </c>
      <c r="P38" s="359"/>
      <c r="Q38" s="433"/>
      <c r="R38" s="433"/>
      <c r="S38" s="440">
        <f>S30/S32</f>
        <v>4</v>
      </c>
      <c r="X38" s="332"/>
      <c r="Y38" s="332"/>
      <c r="Z38" s="332"/>
      <c r="AA38" s="332"/>
      <c r="AB38" s="332"/>
      <c r="AC38" s="332"/>
      <c r="AD38" s="332"/>
      <c r="AE38" s="332"/>
      <c r="AF38" s="332"/>
      <c r="AG38" s="332"/>
      <c r="AH38" s="183"/>
      <c r="AI38" s="206"/>
    </row>
    <row r="39" spans="1:35">
      <c r="A39" s="299"/>
      <c r="B39" s="300" t="s">
        <v>157</v>
      </c>
      <c r="C39" s="300"/>
      <c r="D39" s="489"/>
      <c r="E39" s="489"/>
      <c r="F39" s="489"/>
      <c r="G39" s="572"/>
      <c r="H39" s="547" t="s">
        <v>11</v>
      </c>
      <c r="I39" s="300"/>
      <c r="J39" s="300"/>
      <c r="K39" s="300"/>
      <c r="L39" s="407"/>
      <c r="M39" s="408"/>
      <c r="N39" s="388"/>
      <c r="O39" s="388"/>
      <c r="Q39" s="433"/>
      <c r="R39" s="433"/>
      <c r="S39" s="433"/>
      <c r="X39" s="332"/>
      <c r="Y39" s="332"/>
      <c r="Z39" s="332"/>
      <c r="AA39" s="332"/>
      <c r="AB39" s="332"/>
      <c r="AC39" s="332"/>
      <c r="AD39" s="332"/>
      <c r="AE39" s="332"/>
      <c r="AF39" s="332"/>
      <c r="AG39" s="332"/>
      <c r="AH39" s="183"/>
      <c r="AI39" s="206"/>
    </row>
    <row r="40" spans="1:35">
      <c r="A40" s="254" t="str">
        <f>A32</f>
        <v>CB5</v>
      </c>
      <c r="B40" s="364"/>
      <c r="C40" s="183" t="s">
        <v>157</v>
      </c>
      <c r="E40" s="487">
        <v>12</v>
      </c>
      <c r="F40" s="815" t="s">
        <v>41</v>
      </c>
      <c r="G40" s="816">
        <f>VLOOKUP(F40,Costings!$A$2:$E$10,2)*E40</f>
        <v>30.36</v>
      </c>
      <c r="H40" s="298" t="s">
        <v>30</v>
      </c>
      <c r="I40" s="363"/>
      <c r="J40" s="792"/>
      <c r="K40" s="183"/>
      <c r="L40" s="403"/>
      <c r="M40" s="405"/>
      <c r="N40" s="389"/>
      <c r="O40" s="389"/>
      <c r="Q40" s="433" t="s">
        <v>139</v>
      </c>
      <c r="R40" s="433"/>
      <c r="S40" s="433"/>
      <c r="V40" s="950"/>
      <c r="W40" s="950"/>
      <c r="X40" s="200"/>
      <c r="Y40" s="200"/>
      <c r="Z40" s="200"/>
      <c r="AA40" s="200"/>
      <c r="AB40" s="200"/>
      <c r="AC40" s="200"/>
      <c r="AD40" s="200"/>
      <c r="AE40" s="200"/>
      <c r="AF40" s="200"/>
      <c r="AG40" s="200"/>
      <c r="AH40" s="183"/>
      <c r="AI40" s="206"/>
    </row>
    <row r="41" spans="1:35">
      <c r="A41" s="254" t="str">
        <f t="shared" ref="A41:A43" si="2">A33</f>
        <v>CB4 &amp; CB3</v>
      </c>
      <c r="B41" s="364"/>
      <c r="C41" s="183"/>
      <c r="E41" s="487"/>
      <c r="F41" s="815"/>
      <c r="G41" s="816"/>
      <c r="H41" s="298" t="s">
        <v>30</v>
      </c>
      <c r="I41" s="363"/>
      <c r="J41" s="792"/>
      <c r="K41" s="183"/>
      <c r="L41" s="403"/>
      <c r="M41" s="405"/>
      <c r="N41" s="389"/>
      <c r="O41" s="389"/>
      <c r="Q41" s="433"/>
      <c r="R41" s="433"/>
      <c r="S41" s="433"/>
      <c r="V41" s="628"/>
      <c r="W41" s="628"/>
      <c r="X41" s="200"/>
      <c r="Y41" s="200"/>
      <c r="Z41" s="200"/>
      <c r="AA41" s="200"/>
      <c r="AB41" s="200"/>
      <c r="AC41" s="200"/>
      <c r="AD41" s="200"/>
      <c r="AE41" s="200"/>
      <c r="AF41" s="200"/>
      <c r="AG41" s="200"/>
      <c r="AH41" s="183"/>
      <c r="AI41" s="206"/>
    </row>
    <row r="42" spans="1:35">
      <c r="A42" s="254" t="str">
        <f t="shared" si="2"/>
        <v>CB2</v>
      </c>
      <c r="B42" s="364"/>
      <c r="C42" s="183"/>
      <c r="E42" s="487"/>
      <c r="F42" s="815"/>
      <c r="G42" s="816"/>
      <c r="H42" s="298" t="s">
        <v>30</v>
      </c>
      <c r="I42" s="363"/>
      <c r="J42" s="792"/>
      <c r="K42" s="183"/>
      <c r="L42" s="403"/>
      <c r="M42" s="405"/>
      <c r="N42" s="389"/>
      <c r="O42" s="389"/>
      <c r="Q42" s="433"/>
      <c r="R42" s="433"/>
      <c r="S42" s="433"/>
      <c r="V42" s="628"/>
      <c r="W42" s="628"/>
      <c r="X42" s="200"/>
      <c r="Y42" s="200"/>
      <c r="Z42" s="200"/>
      <c r="AA42" s="200"/>
      <c r="AB42" s="200"/>
      <c r="AC42" s="200"/>
      <c r="AD42" s="200"/>
      <c r="AE42" s="200"/>
      <c r="AF42" s="200"/>
      <c r="AG42" s="200"/>
      <c r="AH42" s="183"/>
      <c r="AI42" s="206"/>
    </row>
    <row r="43" spans="1:35">
      <c r="A43" s="254" t="str">
        <f t="shared" si="2"/>
        <v>SF4 &amp; SF5</v>
      </c>
      <c r="B43" s="364"/>
      <c r="C43" s="183"/>
      <c r="E43" s="487"/>
      <c r="F43" s="815"/>
      <c r="G43" s="816"/>
      <c r="H43" s="298" t="s">
        <v>30</v>
      </c>
      <c r="I43" s="363"/>
      <c r="J43" s="792"/>
      <c r="K43" s="183"/>
      <c r="L43" s="403"/>
      <c r="M43" s="405"/>
      <c r="N43" s="389"/>
      <c r="O43" s="389"/>
      <c r="Q43" s="433"/>
      <c r="R43" s="433"/>
      <c r="S43" s="433"/>
      <c r="V43" s="628"/>
      <c r="W43" s="628"/>
      <c r="X43" s="200"/>
      <c r="Y43" s="200"/>
      <c r="Z43" s="200"/>
      <c r="AA43" s="200"/>
      <c r="AB43" s="200"/>
      <c r="AC43" s="200"/>
      <c r="AD43" s="200"/>
      <c r="AE43" s="200"/>
      <c r="AF43" s="200"/>
      <c r="AG43" s="200"/>
      <c r="AH43" s="183"/>
      <c r="AI43" s="206"/>
    </row>
    <row r="44" spans="1:35">
      <c r="A44" s="254"/>
      <c r="B44" s="364"/>
      <c r="C44" s="183"/>
      <c r="E44" s="487"/>
      <c r="F44" s="815"/>
      <c r="G44" s="816"/>
      <c r="H44" s="298"/>
      <c r="I44" s="363"/>
      <c r="J44" s="792"/>
      <c r="K44" s="183"/>
      <c r="L44" s="403"/>
      <c r="M44" s="405"/>
      <c r="N44" s="389"/>
      <c r="O44" s="389"/>
      <c r="Q44" s="433"/>
      <c r="R44" s="433"/>
      <c r="S44" s="433"/>
      <c r="V44" s="628"/>
      <c r="W44" s="628"/>
      <c r="X44" s="200"/>
      <c r="Y44" s="200"/>
      <c r="Z44" s="200"/>
      <c r="AA44" s="200"/>
      <c r="AB44" s="200"/>
      <c r="AC44" s="200"/>
      <c r="AD44" s="200"/>
      <c r="AE44" s="200"/>
      <c r="AF44" s="200"/>
      <c r="AG44" s="200"/>
      <c r="AH44" s="183"/>
      <c r="AI44" s="206"/>
    </row>
    <row r="45" spans="1:35">
      <c r="A45" s="254"/>
      <c r="B45" s="183"/>
      <c r="C45" s="183"/>
      <c r="G45" s="297"/>
      <c r="H45" s="298"/>
      <c r="I45" s="183"/>
      <c r="J45" s="183"/>
      <c r="K45" s="183"/>
      <c r="L45" s="403"/>
      <c r="M45" s="405"/>
      <c r="N45" s="389"/>
      <c r="O45" s="389"/>
      <c r="Q45" s="433" t="s">
        <v>135</v>
      </c>
      <c r="R45" s="433">
        <v>2</v>
      </c>
      <c r="S45" s="433">
        <v>400</v>
      </c>
      <c r="W45" s="361"/>
      <c r="X45" s="200"/>
      <c r="Y45" s="200"/>
      <c r="Z45" s="200"/>
      <c r="AA45" s="200"/>
      <c r="AB45" s="200"/>
      <c r="AC45" s="200"/>
      <c r="AD45" s="200"/>
      <c r="AE45" s="200"/>
      <c r="AF45" s="200"/>
      <c r="AG45" s="200"/>
      <c r="AH45" s="183"/>
      <c r="AI45" s="206"/>
    </row>
    <row r="46" spans="1:35">
      <c r="A46" s="254" t="str">
        <f>A40</f>
        <v>CB5</v>
      </c>
      <c r="B46" s="183"/>
      <c r="C46" s="183" t="s">
        <v>195</v>
      </c>
      <c r="D46" s="609">
        <f>E32</f>
        <v>0.45</v>
      </c>
      <c r="E46" s="609">
        <f>F32</f>
        <v>0.55000000000000004</v>
      </c>
      <c r="F46" s="815" t="s">
        <v>39</v>
      </c>
      <c r="G46" s="553">
        <v>0.5</v>
      </c>
      <c r="H46" s="298" t="s">
        <v>196</v>
      </c>
      <c r="I46" s="183"/>
      <c r="J46" s="183"/>
      <c r="K46" s="183"/>
      <c r="L46" s="403"/>
      <c r="M46" s="405"/>
      <c r="N46" s="389"/>
      <c r="O46" s="389"/>
      <c r="Q46" s="433" t="s">
        <v>137</v>
      </c>
      <c r="R46" s="433">
        <v>1</v>
      </c>
      <c r="S46" s="433"/>
      <c r="W46" s="361"/>
      <c r="X46" s="196"/>
      <c r="Y46" s="196"/>
      <c r="Z46" s="196"/>
      <c r="AA46" s="196"/>
      <c r="AB46" s="196"/>
      <c r="AC46" s="196"/>
      <c r="AD46" s="196"/>
      <c r="AE46" s="196"/>
      <c r="AF46" s="196"/>
      <c r="AG46" s="196"/>
      <c r="AH46" s="183"/>
      <c r="AI46" s="206"/>
    </row>
    <row r="47" spans="1:35">
      <c r="A47" s="254"/>
      <c r="B47" s="183"/>
      <c r="C47" s="183"/>
      <c r="D47" s="609">
        <v>0.25</v>
      </c>
      <c r="E47" s="485" t="s">
        <v>197</v>
      </c>
      <c r="G47" s="542">
        <v>0.5</v>
      </c>
      <c r="H47" s="298" t="s">
        <v>30</v>
      </c>
      <c r="I47" s="183"/>
      <c r="J47" s="183"/>
      <c r="K47" s="183"/>
      <c r="L47" s="403"/>
      <c r="M47" s="405"/>
      <c r="N47" s="389"/>
      <c r="O47" s="389"/>
      <c r="Q47" s="433" t="s">
        <v>198</v>
      </c>
      <c r="R47" s="433"/>
      <c r="S47" s="433">
        <v>450</v>
      </c>
      <c r="W47" s="361"/>
      <c r="X47" s="200"/>
      <c r="Y47" s="200"/>
      <c r="Z47" s="200"/>
      <c r="AA47" s="200"/>
      <c r="AB47" s="200"/>
      <c r="AC47" s="200"/>
      <c r="AD47" s="200"/>
      <c r="AE47" s="200"/>
      <c r="AF47" s="200"/>
      <c r="AG47" s="200"/>
      <c r="AH47" s="183"/>
      <c r="AI47" s="206"/>
    </row>
    <row r="48" spans="1:35">
      <c r="A48" s="254" t="str">
        <f>A41</f>
        <v>CB4 &amp; CB3</v>
      </c>
      <c r="B48" s="183"/>
      <c r="C48" s="183" t="s">
        <v>195</v>
      </c>
      <c r="D48" s="609">
        <f>E33</f>
        <v>0</v>
      </c>
      <c r="E48" s="609">
        <f>F33</f>
        <v>0</v>
      </c>
      <c r="F48" s="815" t="s">
        <v>39</v>
      </c>
      <c r="G48" s="553">
        <f>VLOOKUP(F48,Costings!$A$2:$E$10,2)*(2*D48+2*E48)</f>
        <v>0</v>
      </c>
      <c r="H48" s="298" t="s">
        <v>196</v>
      </c>
      <c r="I48" s="183"/>
      <c r="J48" s="183"/>
      <c r="K48" s="183"/>
      <c r="L48" s="403"/>
      <c r="M48" s="405"/>
      <c r="N48" s="389"/>
      <c r="O48" s="389"/>
      <c r="Q48" s="433"/>
      <c r="R48" s="433"/>
      <c r="S48" s="433"/>
      <c r="W48" s="361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183"/>
      <c r="AI48" s="206"/>
    </row>
    <row r="49" spans="1:35">
      <c r="A49" s="254"/>
      <c r="B49" s="183"/>
      <c r="C49" s="183"/>
      <c r="D49" s="609">
        <v>0.45</v>
      </c>
      <c r="E49" s="485" t="s">
        <v>197</v>
      </c>
      <c r="G49" s="542">
        <f>1/(D49)*G48</f>
        <v>0</v>
      </c>
      <c r="H49" s="298" t="s">
        <v>30</v>
      </c>
      <c r="I49" s="183"/>
      <c r="J49" s="183"/>
      <c r="K49" s="183"/>
      <c r="L49" s="403"/>
      <c r="M49" s="405"/>
      <c r="N49" s="389"/>
      <c r="O49" s="389"/>
      <c r="Q49" s="433"/>
      <c r="R49" s="433"/>
      <c r="S49" s="433"/>
      <c r="W49" s="361"/>
      <c r="X49" s="200"/>
      <c r="Y49" s="200"/>
      <c r="Z49" s="200"/>
      <c r="AA49" s="200"/>
      <c r="AB49" s="200"/>
      <c r="AC49" s="200"/>
      <c r="AD49" s="200"/>
      <c r="AE49" s="200"/>
      <c r="AF49" s="200"/>
      <c r="AG49" s="200"/>
      <c r="AH49" s="183"/>
      <c r="AI49" s="206"/>
    </row>
    <row r="50" spans="1:35">
      <c r="A50" s="254" t="str">
        <f>A42</f>
        <v>CB2</v>
      </c>
      <c r="B50" s="183"/>
      <c r="C50" s="183" t="s">
        <v>195</v>
      </c>
      <c r="D50" s="609">
        <f>E34</f>
        <v>0</v>
      </c>
      <c r="E50" s="609">
        <f>F34</f>
        <v>0</v>
      </c>
      <c r="F50" s="815" t="s">
        <v>39</v>
      </c>
      <c r="G50" s="553">
        <f>VLOOKUP(F50,Costings!$A$2:$E$10,2)*(2*D50+2*E50)</f>
        <v>0</v>
      </c>
      <c r="H50" s="298" t="s">
        <v>196</v>
      </c>
      <c r="I50" s="183"/>
      <c r="J50" s="183"/>
      <c r="K50" s="183"/>
      <c r="L50" s="403"/>
      <c r="M50" s="405"/>
      <c r="N50" s="389"/>
      <c r="O50" s="389"/>
      <c r="Q50" s="433"/>
      <c r="R50" s="433"/>
      <c r="S50" s="433"/>
      <c r="W50" s="361"/>
      <c r="X50" s="200"/>
      <c r="Y50" s="200"/>
      <c r="Z50" s="200"/>
      <c r="AA50" s="200"/>
      <c r="AB50" s="200"/>
      <c r="AC50" s="200"/>
      <c r="AD50" s="200"/>
      <c r="AE50" s="200"/>
      <c r="AF50" s="200"/>
      <c r="AG50" s="200"/>
      <c r="AH50" s="183"/>
      <c r="AI50" s="206"/>
    </row>
    <row r="51" spans="1:35">
      <c r="A51" s="254"/>
      <c r="B51" s="183"/>
      <c r="C51" s="183"/>
      <c r="D51" s="609">
        <v>0.45</v>
      </c>
      <c r="E51" s="485" t="s">
        <v>197</v>
      </c>
      <c r="G51" s="542">
        <f>1/(D51)*G50</f>
        <v>0</v>
      </c>
      <c r="H51" s="298" t="s">
        <v>30</v>
      </c>
      <c r="I51" s="183"/>
      <c r="J51" s="183"/>
      <c r="K51" s="183"/>
      <c r="L51" s="403"/>
      <c r="M51" s="405"/>
      <c r="N51" s="389"/>
      <c r="O51" s="389"/>
      <c r="Q51" s="433"/>
      <c r="R51" s="433"/>
      <c r="S51" s="433"/>
      <c r="W51" s="361"/>
      <c r="X51" s="200"/>
      <c r="Y51" s="200"/>
      <c r="Z51" s="200"/>
      <c r="AA51" s="200"/>
      <c r="AB51" s="200"/>
      <c r="AC51" s="200"/>
      <c r="AD51" s="200"/>
      <c r="AE51" s="200"/>
      <c r="AF51" s="200"/>
      <c r="AG51" s="200"/>
      <c r="AH51" s="183"/>
      <c r="AI51" s="206"/>
    </row>
    <row r="52" spans="1:35">
      <c r="A52" s="254" t="str">
        <f>A43</f>
        <v>SF4 &amp; SF5</v>
      </c>
      <c r="B52" s="183"/>
      <c r="C52" s="183" t="s">
        <v>195</v>
      </c>
      <c r="D52" s="609">
        <f>E35</f>
        <v>0</v>
      </c>
      <c r="E52" s="609">
        <f>F35</f>
        <v>0</v>
      </c>
      <c r="F52" s="815" t="s">
        <v>39</v>
      </c>
      <c r="G52" s="553">
        <f>VLOOKUP(F52,Costings!$A$2:$E$10,2)*(2*D52+2*E52)</f>
        <v>0</v>
      </c>
      <c r="H52" s="298" t="s">
        <v>196</v>
      </c>
      <c r="I52" s="183"/>
      <c r="J52" s="183"/>
      <c r="K52" s="183"/>
      <c r="L52" s="403"/>
      <c r="M52" s="405"/>
      <c r="N52" s="389"/>
      <c r="O52" s="389"/>
      <c r="Q52" s="433"/>
      <c r="R52" s="433"/>
      <c r="S52" s="433"/>
      <c r="W52" s="361"/>
      <c r="X52" s="200"/>
      <c r="Y52" s="200"/>
      <c r="Z52" s="200"/>
      <c r="AA52" s="200"/>
      <c r="AB52" s="200"/>
      <c r="AC52" s="200"/>
      <c r="AD52" s="200"/>
      <c r="AE52" s="200"/>
      <c r="AF52" s="200"/>
      <c r="AG52" s="200"/>
      <c r="AH52" s="183"/>
      <c r="AI52" s="206"/>
    </row>
    <row r="53" spans="1:35">
      <c r="A53" s="254"/>
      <c r="B53" s="183"/>
      <c r="C53" s="183"/>
      <c r="D53" s="609">
        <v>0.3</v>
      </c>
      <c r="E53" s="485" t="s">
        <v>197</v>
      </c>
      <c r="G53" s="542">
        <f>1/(D53)*G52</f>
        <v>0</v>
      </c>
      <c r="H53" s="298" t="s">
        <v>30</v>
      </c>
      <c r="I53" s="183"/>
      <c r="J53" s="183"/>
      <c r="K53" s="183"/>
      <c r="L53" s="403"/>
      <c r="M53" s="405"/>
      <c r="N53" s="389"/>
      <c r="O53" s="389"/>
      <c r="Q53" s="433"/>
      <c r="R53" s="433"/>
      <c r="S53" s="433"/>
      <c r="W53" s="361"/>
      <c r="X53" s="200"/>
      <c r="Y53" s="200"/>
      <c r="Z53" s="200"/>
      <c r="AA53" s="200"/>
      <c r="AB53" s="200"/>
      <c r="AC53" s="200"/>
      <c r="AD53" s="200"/>
      <c r="AE53" s="200"/>
      <c r="AF53" s="200"/>
      <c r="AG53" s="200"/>
      <c r="AH53" s="183"/>
      <c r="AI53" s="206"/>
    </row>
    <row r="54" spans="1:35">
      <c r="A54" s="254"/>
      <c r="B54" s="183"/>
      <c r="C54" s="364"/>
      <c r="G54" s="570">
        <f>(D32*(G40+G47))/1000</f>
        <v>3.5180400000000001</v>
      </c>
      <c r="H54" s="298" t="s">
        <v>158</v>
      </c>
      <c r="I54" s="296">
        <v>0.05</v>
      </c>
      <c r="J54" s="183"/>
      <c r="K54" s="183">
        <v>150</v>
      </c>
      <c r="L54" s="409">
        <f>K54*(1+I54)</f>
        <v>157.5</v>
      </c>
      <c r="M54" s="410">
        <f>L54*G54</f>
        <v>554.09130000000005</v>
      </c>
      <c r="N54" s="411">
        <f>L54*1.5</f>
        <v>236.25</v>
      </c>
      <c r="O54" s="411">
        <f>N54*G54</f>
        <v>831.13695000000007</v>
      </c>
      <c r="Q54" s="433"/>
      <c r="R54" s="433"/>
      <c r="S54" s="440" t="e">
        <f>(S45*R45*R46+S47*R46)/G7</f>
        <v>#DIV/0!</v>
      </c>
      <c r="W54" s="361"/>
      <c r="X54" s="200"/>
      <c r="Y54" s="200"/>
      <c r="Z54" s="200"/>
      <c r="AA54" s="200"/>
      <c r="AB54" s="200"/>
      <c r="AC54" s="200"/>
      <c r="AD54" s="200"/>
      <c r="AE54" s="200"/>
      <c r="AF54" s="200"/>
      <c r="AG54" s="200"/>
      <c r="AH54" s="183"/>
      <c r="AI54" s="206"/>
    </row>
    <row r="55" spans="1:35">
      <c r="A55" s="254"/>
      <c r="B55" s="183"/>
      <c r="C55" s="183"/>
      <c r="E55" s="486"/>
      <c r="G55" s="297"/>
      <c r="H55" s="298"/>
      <c r="I55" s="183"/>
      <c r="J55" s="183"/>
      <c r="K55" s="183"/>
      <c r="L55" s="409"/>
      <c r="M55" s="410"/>
      <c r="N55" s="411"/>
      <c r="O55" s="411"/>
      <c r="Q55" s="433"/>
      <c r="R55" s="433"/>
      <c r="S55" s="433"/>
      <c r="W55" s="361"/>
      <c r="X55" s="323"/>
      <c r="Y55" s="323"/>
      <c r="Z55" s="323"/>
      <c r="AA55" s="323"/>
      <c r="AB55" s="323"/>
      <c r="AC55" s="323"/>
      <c r="AD55" s="323"/>
      <c r="AE55" s="323"/>
      <c r="AF55" s="323"/>
      <c r="AG55" s="323"/>
      <c r="AH55" s="183"/>
      <c r="AI55" s="206"/>
    </row>
    <row r="56" spans="1:35" ht="19.95" customHeight="1">
      <c r="A56" s="254"/>
      <c r="B56" s="183"/>
      <c r="C56" s="183" t="s">
        <v>199</v>
      </c>
      <c r="G56" s="570">
        <f>G54</f>
        <v>3.5180400000000001</v>
      </c>
      <c r="H56" s="298" t="s">
        <v>158</v>
      </c>
      <c r="I56" s="296">
        <v>0.05</v>
      </c>
      <c r="J56" s="183"/>
      <c r="K56" s="183">
        <v>100</v>
      </c>
      <c r="L56" s="409">
        <f>K56*(1+I56)</f>
        <v>105</v>
      </c>
      <c r="M56" s="909">
        <f>G56*L56</f>
        <v>369.39420000000001</v>
      </c>
      <c r="N56" s="411">
        <f>L56*1.5</f>
        <v>157.5</v>
      </c>
      <c r="O56" s="411">
        <f>N56*G56</f>
        <v>554.09130000000005</v>
      </c>
      <c r="Q56" s="433" t="s">
        <v>200</v>
      </c>
      <c r="R56" s="433">
        <v>20</v>
      </c>
      <c r="S56" s="433" t="s">
        <v>201</v>
      </c>
      <c r="X56" s="344"/>
      <c r="Y56" s="344"/>
      <c r="Z56" s="344"/>
      <c r="AA56" s="344"/>
      <c r="AB56" s="344"/>
      <c r="AC56" s="344"/>
      <c r="AD56" s="344"/>
      <c r="AE56" s="344"/>
      <c r="AF56" s="344"/>
      <c r="AG56" s="344"/>
      <c r="AH56" s="183"/>
      <c r="AI56" s="206"/>
    </row>
    <row r="57" spans="1:35">
      <c r="A57" s="248"/>
      <c r="C57" s="183"/>
      <c r="F57" s="791"/>
      <c r="G57" s="790"/>
      <c r="H57" s="298"/>
      <c r="I57" s="183"/>
      <c r="J57" s="183"/>
      <c r="K57" s="183"/>
      <c r="L57" s="403"/>
      <c r="M57" s="405"/>
      <c r="N57" s="389"/>
      <c r="O57" s="389"/>
      <c r="X57" s="344"/>
      <c r="Y57" s="344"/>
      <c r="Z57" s="344"/>
      <c r="AA57" s="344"/>
      <c r="AB57" s="344"/>
      <c r="AC57" s="344"/>
      <c r="AD57" s="344"/>
      <c r="AE57" s="344"/>
      <c r="AF57" s="344"/>
      <c r="AG57" s="344"/>
      <c r="AH57" s="183"/>
      <c r="AI57" s="206"/>
    </row>
    <row r="58" spans="1:35">
      <c r="A58" s="248"/>
      <c r="C58" s="259" t="s">
        <v>202</v>
      </c>
      <c r="D58" s="496">
        <v>1.2</v>
      </c>
      <c r="E58" s="496">
        <v>0.2</v>
      </c>
      <c r="F58" s="789" t="s">
        <v>42</v>
      </c>
      <c r="G58" s="788">
        <f>VLOOKUP(F58,Costings!$A$2:$E$10,2)*D58*1/E58</f>
        <v>21.84</v>
      </c>
      <c r="H58" s="298" t="s">
        <v>30</v>
      </c>
      <c r="I58" s="385">
        <v>1</v>
      </c>
      <c r="J58" s="183"/>
      <c r="K58" s="183"/>
      <c r="L58" s="403"/>
      <c r="M58" s="405"/>
      <c r="N58" s="389"/>
      <c r="O58" s="389"/>
      <c r="X58" s="323"/>
      <c r="Y58" s="323"/>
      <c r="Z58" s="323"/>
      <c r="AA58" s="323"/>
      <c r="AB58" s="323"/>
      <c r="AC58" s="323"/>
      <c r="AD58" s="323"/>
      <c r="AE58" s="323"/>
      <c r="AF58" s="323"/>
      <c r="AG58" s="323"/>
      <c r="AH58" s="183"/>
      <c r="AI58" s="206"/>
    </row>
    <row r="59" spans="1:35">
      <c r="A59" s="248"/>
      <c r="C59" s="183"/>
      <c r="G59" s="468">
        <f>G58/1000*G21</f>
        <v>2.48976</v>
      </c>
      <c r="H59" s="298" t="s">
        <v>158</v>
      </c>
      <c r="I59" s="296">
        <v>0.05</v>
      </c>
      <c r="J59" s="183"/>
      <c r="K59" s="183">
        <v>150</v>
      </c>
      <c r="L59" s="403">
        <f>K59*(1+I59)</f>
        <v>157.5</v>
      </c>
      <c r="M59" s="413">
        <f>L59*G59</f>
        <v>392.13720000000001</v>
      </c>
      <c r="N59" s="389">
        <f>L59*1.5</f>
        <v>236.25</v>
      </c>
      <c r="O59" s="412">
        <f>N59*G59</f>
        <v>588.20579999999995</v>
      </c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183"/>
      <c r="AI59" s="206"/>
    </row>
    <row r="60" spans="1:35">
      <c r="A60" s="248"/>
      <c r="C60" s="183"/>
      <c r="G60" s="297"/>
      <c r="H60" s="298"/>
      <c r="I60" s="183"/>
      <c r="J60" s="183"/>
      <c r="K60" s="183"/>
      <c r="L60" s="403"/>
      <c r="M60" s="405"/>
      <c r="N60" s="389"/>
      <c r="O60" s="389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183"/>
      <c r="AI60" s="206"/>
    </row>
    <row r="61" spans="1:35">
      <c r="A61" s="248"/>
      <c r="C61" s="259" t="s">
        <v>139</v>
      </c>
      <c r="G61" s="573">
        <f>G21/E58</f>
        <v>570</v>
      </c>
      <c r="H61" s="298" t="s">
        <v>203</v>
      </c>
      <c r="I61" s="183"/>
      <c r="J61" s="183"/>
      <c r="K61" s="183"/>
      <c r="L61" s="403">
        <v>3</v>
      </c>
      <c r="M61" s="405">
        <f>G61*L61</f>
        <v>1710</v>
      </c>
      <c r="N61" s="389">
        <f>L61*1.5</f>
        <v>4.5</v>
      </c>
      <c r="O61" s="389">
        <f>G61*N61</f>
        <v>2565</v>
      </c>
      <c r="X61" s="323"/>
      <c r="Y61" s="323"/>
      <c r="Z61" s="323"/>
      <c r="AA61" s="323"/>
      <c r="AB61" s="323"/>
      <c r="AC61" s="323"/>
      <c r="AD61" s="323"/>
      <c r="AE61" s="323"/>
      <c r="AF61" s="323"/>
      <c r="AG61" s="323"/>
      <c r="AH61" s="183"/>
      <c r="AI61" s="206"/>
    </row>
    <row r="62" spans="1:35">
      <c r="A62" s="248"/>
      <c r="C62" s="183"/>
      <c r="G62" s="297"/>
      <c r="H62" s="298"/>
      <c r="I62" s="183"/>
      <c r="J62" s="183"/>
      <c r="K62" s="183"/>
      <c r="L62" s="403"/>
      <c r="M62" s="405"/>
      <c r="N62" s="389"/>
      <c r="O62" s="389"/>
      <c r="X62" s="196"/>
      <c r="Y62" s="196"/>
      <c r="Z62" s="196"/>
      <c r="AA62" s="196"/>
      <c r="AB62" s="196"/>
      <c r="AC62" s="196"/>
      <c r="AD62" s="196"/>
      <c r="AE62" s="196"/>
      <c r="AF62" s="196"/>
      <c r="AG62" s="196"/>
      <c r="AH62" s="183"/>
      <c r="AI62" s="206"/>
    </row>
    <row r="63" spans="1:35">
      <c r="A63" s="248"/>
      <c r="C63" s="183" t="s">
        <v>155</v>
      </c>
      <c r="D63" s="485">
        <f>G36</f>
        <v>4</v>
      </c>
      <c r="F63" s="485">
        <v>1</v>
      </c>
      <c r="G63" s="570">
        <f>D63*F63</f>
        <v>4</v>
      </c>
      <c r="H63" s="298" t="s">
        <v>204</v>
      </c>
      <c r="I63" s="183"/>
      <c r="J63" s="183"/>
      <c r="K63" s="183"/>
      <c r="L63" s="403"/>
      <c r="M63" s="405"/>
      <c r="N63" s="389"/>
      <c r="O63" s="389"/>
      <c r="X63" s="196"/>
      <c r="Y63" s="196"/>
      <c r="Z63" s="196"/>
      <c r="AA63" s="196"/>
      <c r="AB63" s="196"/>
      <c r="AC63" s="196"/>
      <c r="AD63" s="196"/>
      <c r="AE63" s="196"/>
      <c r="AF63" s="196"/>
      <c r="AG63" s="196"/>
      <c r="AH63" s="183"/>
      <c r="AI63" s="206"/>
    </row>
    <row r="64" spans="1:35">
      <c r="A64" s="248"/>
      <c r="C64" s="183"/>
      <c r="F64" s="496">
        <v>1.8</v>
      </c>
      <c r="G64" s="468">
        <f>F64*G63</f>
        <v>7.2</v>
      </c>
      <c r="H64" s="298"/>
      <c r="I64" s="183"/>
      <c r="J64" s="183"/>
      <c r="K64" s="183"/>
      <c r="L64" s="403">
        <v>25</v>
      </c>
      <c r="M64" s="410">
        <f>G64*L64</f>
        <v>180</v>
      </c>
      <c r="N64" s="389">
        <f>L64*1.5</f>
        <v>37.5</v>
      </c>
      <c r="O64" s="411">
        <f>G64*N64</f>
        <v>270</v>
      </c>
      <c r="X64" s="211"/>
      <c r="Y64" s="211"/>
      <c r="Z64" s="211"/>
      <c r="AA64" s="211"/>
      <c r="AB64" s="211"/>
      <c r="AC64" s="211"/>
      <c r="AD64" s="211"/>
      <c r="AE64" s="211"/>
      <c r="AF64" s="211"/>
      <c r="AG64" s="211"/>
      <c r="AH64" s="183"/>
      <c r="AI64" s="206"/>
    </row>
    <row r="65" spans="1:35">
      <c r="A65" s="248"/>
      <c r="C65" s="183"/>
      <c r="G65" s="297"/>
      <c r="H65" s="298"/>
      <c r="I65" s="183"/>
      <c r="J65" s="183"/>
      <c r="K65" s="183"/>
      <c r="L65" s="403"/>
      <c r="M65" s="410"/>
      <c r="N65" s="389"/>
      <c r="O65" s="411"/>
      <c r="X65" s="211"/>
      <c r="Y65" s="211"/>
      <c r="Z65" s="211"/>
      <c r="AA65" s="211"/>
      <c r="AB65" s="211"/>
      <c r="AC65" s="211"/>
      <c r="AD65" s="211"/>
      <c r="AE65" s="211"/>
      <c r="AF65" s="211"/>
      <c r="AG65" s="211"/>
      <c r="AH65" s="183"/>
      <c r="AI65" s="206"/>
    </row>
    <row r="66" spans="1:35">
      <c r="A66" s="248"/>
      <c r="C66" s="183"/>
      <c r="G66" s="297"/>
      <c r="H66" s="298"/>
      <c r="I66" s="183"/>
      <c r="J66" s="183"/>
      <c r="K66" s="183"/>
      <c r="L66" s="403"/>
      <c r="M66" s="405"/>
      <c r="N66" s="389"/>
      <c r="O66" s="389"/>
      <c r="X66" s="199"/>
      <c r="Y66" s="199"/>
      <c r="Z66" s="625"/>
      <c r="AA66" s="345"/>
      <c r="AB66" s="183"/>
      <c r="AC66" s="183"/>
      <c r="AD66" s="183"/>
      <c r="AE66" s="259"/>
      <c r="AF66" s="259"/>
      <c r="AG66" s="259"/>
      <c r="AH66" s="197"/>
      <c r="AI66" s="346"/>
    </row>
    <row r="67" spans="1:35">
      <c r="A67" s="419"/>
      <c r="C67" s="183" t="s">
        <v>205</v>
      </c>
      <c r="D67" s="485">
        <v>0</v>
      </c>
      <c r="E67" s="485">
        <v>0</v>
      </c>
      <c r="F67" s="485">
        <v>0</v>
      </c>
      <c r="G67" s="569">
        <v>66</v>
      </c>
      <c r="H67" s="298" t="s">
        <v>11</v>
      </c>
      <c r="I67" s="183"/>
      <c r="J67" s="183"/>
      <c r="K67" s="183"/>
      <c r="L67" s="416">
        <v>8.5</v>
      </c>
      <c r="M67" s="417">
        <f>G67*L67</f>
        <v>561</v>
      </c>
      <c r="N67" s="390">
        <f>L67*1.5</f>
        <v>12.75</v>
      </c>
      <c r="O67" s="390">
        <f>N67*G67</f>
        <v>841.5</v>
      </c>
      <c r="X67" s="183"/>
      <c r="Y67" s="183"/>
      <c r="Z67" s="625"/>
      <c r="AA67" s="184"/>
      <c r="AB67" s="347"/>
      <c r="AC67" s="213"/>
      <c r="AD67" s="183"/>
      <c r="AE67" s="259"/>
      <c r="AF67" s="259"/>
      <c r="AG67" s="259"/>
      <c r="AH67" s="183"/>
      <c r="AI67" s="346"/>
    </row>
    <row r="68" spans="1:35">
      <c r="A68" s="419"/>
      <c r="B68" s="358"/>
      <c r="C68" s="183" t="s">
        <v>206</v>
      </c>
      <c r="D68" s="485">
        <v>0</v>
      </c>
      <c r="E68" s="485">
        <v>0</v>
      </c>
      <c r="F68" s="485">
        <v>0</v>
      </c>
      <c r="G68" s="569">
        <f>D68</f>
        <v>0</v>
      </c>
      <c r="H68" s="298" t="s">
        <v>11</v>
      </c>
      <c r="I68" s="183"/>
      <c r="J68" s="183"/>
      <c r="K68" s="183"/>
      <c r="L68" s="416">
        <v>5.5</v>
      </c>
      <c r="M68" s="417">
        <f>G68*L68</f>
        <v>0</v>
      </c>
      <c r="N68" s="390">
        <f>L68*1.5</f>
        <v>8.25</v>
      </c>
      <c r="O68" s="390">
        <f>N68*G68</f>
        <v>0</v>
      </c>
      <c r="X68" s="219"/>
      <c r="Y68" s="219"/>
      <c r="Z68" s="625"/>
      <c r="AA68" s="184"/>
      <c r="AB68" s="347"/>
      <c r="AC68" s="348"/>
      <c r="AD68" s="183"/>
      <c r="AE68" s="259"/>
      <c r="AF68" s="259"/>
      <c r="AG68" s="259"/>
      <c r="AH68" s="183"/>
      <c r="AI68" s="346"/>
    </row>
    <row r="69" spans="1:35">
      <c r="A69" s="419"/>
      <c r="B69" s="360"/>
      <c r="C69" s="183" t="s">
        <v>139</v>
      </c>
      <c r="D69" s="485">
        <v>0</v>
      </c>
      <c r="E69" s="485">
        <v>0</v>
      </c>
      <c r="F69" s="485">
        <v>0</v>
      </c>
      <c r="G69" s="569">
        <v>32.46</v>
      </c>
      <c r="H69" s="298" t="s">
        <v>11</v>
      </c>
      <c r="I69" s="183"/>
      <c r="J69" s="183"/>
      <c r="K69" s="183"/>
      <c r="L69" s="416">
        <v>65</v>
      </c>
      <c r="M69" s="908">
        <f>G69*L69</f>
        <v>2109.9</v>
      </c>
      <c r="N69" s="390">
        <f>L69*1.5</f>
        <v>97.5</v>
      </c>
      <c r="O69" s="390">
        <f>N69*G69</f>
        <v>3164.85</v>
      </c>
      <c r="X69" s="183"/>
      <c r="Y69" s="183"/>
      <c r="Z69" s="625"/>
      <c r="AA69" s="184"/>
      <c r="AB69" s="347"/>
      <c r="AC69" s="349"/>
      <c r="AD69" s="183"/>
      <c r="AE69" s="259"/>
      <c r="AF69" s="259"/>
      <c r="AG69" s="259"/>
      <c r="AH69" s="197"/>
      <c r="AI69" s="346"/>
    </row>
    <row r="70" spans="1:35">
      <c r="A70" s="419"/>
      <c r="B70" s="360"/>
      <c r="C70" s="192"/>
      <c r="G70" s="297"/>
      <c r="H70" s="545"/>
      <c r="I70" s="415"/>
      <c r="J70" s="183"/>
      <c r="K70" s="183"/>
      <c r="L70" s="403"/>
      <c r="M70" s="405"/>
      <c r="N70" s="389"/>
      <c r="O70" s="389"/>
      <c r="U70" s="183"/>
      <c r="V70" s="183"/>
      <c r="W70" s="625"/>
      <c r="X70" s="197"/>
      <c r="Y70" s="183"/>
      <c r="Z70" s="625"/>
      <c r="AA70" s="184"/>
      <c r="AB70" s="350"/>
      <c r="AC70" s="351"/>
      <c r="AD70" s="183"/>
      <c r="AE70" s="625"/>
      <c r="AF70" s="625"/>
      <c r="AG70" s="625"/>
      <c r="AH70" s="183"/>
      <c r="AI70" s="352"/>
    </row>
    <row r="71" spans="1:35">
      <c r="A71" s="419"/>
      <c r="B71" s="360"/>
      <c r="C71" s="183" t="s">
        <v>207</v>
      </c>
      <c r="G71" s="297"/>
      <c r="H71" s="545"/>
      <c r="I71" s="415"/>
      <c r="J71" s="183"/>
      <c r="K71" s="183"/>
      <c r="L71" s="403"/>
      <c r="M71" s="410"/>
      <c r="N71" s="389"/>
      <c r="O71" s="389"/>
      <c r="U71" s="183"/>
      <c r="V71" s="183"/>
      <c r="W71" s="625"/>
      <c r="X71" s="197"/>
      <c r="Y71" s="183"/>
      <c r="Z71" s="625"/>
      <c r="AA71" s="184"/>
      <c r="AB71" s="350"/>
      <c r="AC71" s="351"/>
      <c r="AD71" s="183"/>
      <c r="AE71" s="625"/>
      <c r="AF71" s="625"/>
      <c r="AG71" s="625"/>
      <c r="AH71" s="183"/>
      <c r="AI71" s="352"/>
    </row>
    <row r="72" spans="1:35">
      <c r="A72" s="261"/>
      <c r="B72" s="262"/>
      <c r="C72" s="183" t="s">
        <v>208</v>
      </c>
      <c r="D72" s="497"/>
      <c r="E72" s="497"/>
      <c r="F72" s="497"/>
      <c r="G72" s="574"/>
      <c r="H72" s="711">
        <v>14</v>
      </c>
      <c r="I72" s="370"/>
      <c r="J72" s="370"/>
      <c r="K72" s="370"/>
      <c r="L72" s="421">
        <v>400</v>
      </c>
      <c r="M72" s="422">
        <f>H72*L72</f>
        <v>5600</v>
      </c>
      <c r="N72" s="420">
        <f>L72*1.5</f>
        <v>600</v>
      </c>
      <c r="O72" s="420">
        <f>H72*N72</f>
        <v>8400</v>
      </c>
      <c r="U72" s="183"/>
      <c r="V72" s="259"/>
      <c r="W72" s="625"/>
      <c r="X72" s="197"/>
      <c r="Y72" s="183"/>
      <c r="Z72" s="625"/>
      <c r="AA72" s="184"/>
      <c r="AB72" s="183"/>
      <c r="AC72" s="183"/>
      <c r="AD72" s="183"/>
      <c r="AE72" s="625"/>
      <c r="AF72" s="625"/>
      <c r="AG72" s="625"/>
      <c r="AH72" s="625"/>
      <c r="AI72" s="353"/>
    </row>
    <row r="73" spans="1:35">
      <c r="A73" s="89"/>
      <c r="B73" s="133"/>
      <c r="C73" s="367"/>
      <c r="D73" s="483"/>
      <c r="E73" s="483"/>
      <c r="F73" s="483"/>
      <c r="G73" s="33"/>
      <c r="H73" s="520"/>
      <c r="I73" s="63"/>
      <c r="J73" s="271" t="s">
        <v>170</v>
      </c>
      <c r="K73" s="64"/>
      <c r="L73" s="315">
        <f>M75/D38</f>
        <v>921.91484666666668</v>
      </c>
      <c r="M73" s="316"/>
      <c r="N73" s="317">
        <f>O75/D38</f>
        <v>1382.8722699999998</v>
      </c>
      <c r="O73" s="314"/>
      <c r="U73" s="196"/>
      <c r="V73" s="354"/>
      <c r="W73" s="625"/>
      <c r="X73" s="197"/>
      <c r="Y73" s="183"/>
      <c r="Z73" s="625"/>
      <c r="AA73" s="184"/>
      <c r="AB73" s="183"/>
      <c r="AC73" s="196"/>
      <c r="AD73" s="183"/>
      <c r="AE73" s="183"/>
      <c r="AF73" s="183"/>
      <c r="AG73" s="183"/>
      <c r="AH73" s="625"/>
      <c r="AI73" s="355"/>
    </row>
    <row r="74" spans="1:35">
      <c r="A74" s="261"/>
      <c r="B74" s="262"/>
      <c r="C74" s="263"/>
      <c r="D74" s="483"/>
      <c r="E74" s="483"/>
      <c r="F74" s="486"/>
      <c r="G74" s="301"/>
      <c r="H74" s="540"/>
      <c r="I74" s="264"/>
      <c r="J74" s="284" t="s">
        <v>209</v>
      </c>
      <c r="K74" s="285"/>
      <c r="L74" s="318">
        <f>M75/G32</f>
        <v>3457.1806750000001</v>
      </c>
      <c r="M74" s="311"/>
      <c r="N74" s="319">
        <f>O75/G36</f>
        <v>5185.7710124999994</v>
      </c>
      <c r="O74" s="320"/>
    </row>
    <row r="75" spans="1:35">
      <c r="A75" s="90"/>
      <c r="B75" s="132"/>
      <c r="C75" s="67"/>
      <c r="D75" s="499"/>
      <c r="E75" s="499"/>
      <c r="F75" s="499"/>
      <c r="G75" s="69"/>
      <c r="H75" s="528"/>
      <c r="I75" s="68"/>
      <c r="J75" s="71"/>
      <c r="K75" s="72"/>
      <c r="L75" s="154" t="s">
        <v>140</v>
      </c>
      <c r="M75" s="154">
        <f>SUM(M7:M74)</f>
        <v>13828.7227</v>
      </c>
      <c r="N75" s="144" t="s">
        <v>140</v>
      </c>
      <c r="O75" s="144">
        <f>SUM(O7:O74)</f>
        <v>20743.084049999998</v>
      </c>
    </row>
    <row r="76" spans="1:35">
      <c r="A76" t="s">
        <v>141</v>
      </c>
    </row>
    <row r="77" spans="1:35">
      <c r="D77"/>
      <c r="E77"/>
      <c r="F77"/>
      <c r="G77"/>
      <c r="H77"/>
    </row>
    <row r="78" spans="1:35">
      <c r="D78"/>
      <c r="E78"/>
      <c r="F78"/>
      <c r="G78"/>
      <c r="H78"/>
    </row>
    <row r="79" spans="1:35">
      <c r="D79"/>
      <c r="E79"/>
      <c r="F79"/>
      <c r="G79"/>
      <c r="H79"/>
    </row>
  </sheetData>
  <mergeCells count="2">
    <mergeCell ref="V40:W40"/>
    <mergeCell ref="K1:M1"/>
  </mergeCells>
  <dataValidations count="2">
    <dataValidation type="list" allowBlank="1" showInputMessage="1" showErrorMessage="1" sqref="K15:K16" xr:uid="{00000000-0002-0000-0400-000000000000}">
      <formula1>#REF!</formula1>
    </dataValidation>
    <dataValidation type="list" allowBlank="1" showInputMessage="1" showErrorMessage="1" sqref="F41:F44 F52 F48 F50" xr:uid="{00000000-0002-0000-0400-000001000000}">
      <formula1>$Q$63:$Q$70</formula1>
    </dataValidation>
  </dataValidations>
  <pageMargins left="0.7" right="0.7" top="0.75" bottom="0.75" header="0.3" footer="0.3"/>
  <pageSetup paperSize="9" scale="45" orientation="portrait" r:id="rId1"/>
  <colBreaks count="1" manualBreakCount="1">
    <brk id="15" max="52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2000000}">
          <x14:formula1>
            <xm:f>Costings!$A$2:$A$10</xm:f>
          </x14:formula1>
          <xm:sqref>F40 F46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F54"/>
  <sheetViews>
    <sheetView view="pageBreakPreview" topLeftCell="A18" zoomScale="75" zoomScaleNormal="75" zoomScaleSheetLayoutView="75" workbookViewId="0">
      <selection activeCell="L24" sqref="L24"/>
    </sheetView>
  </sheetViews>
  <sheetFormatPr defaultRowHeight="15.6"/>
  <cols>
    <col min="1" max="1" width="18.59765625" customWidth="1"/>
    <col min="3" max="3" width="24.09765625" customWidth="1"/>
    <col min="4" max="6" width="9" style="485" customWidth="1"/>
    <col min="7" max="7" width="11.3984375" style="192" customWidth="1"/>
    <col min="8" max="8" width="10.69921875" style="259" bestFit="1" customWidth="1"/>
    <col min="9" max="9" width="11.59765625" bestFit="1" customWidth="1"/>
    <col min="12" max="12" width="10.69921875" bestFit="1" customWidth="1"/>
    <col min="13" max="13" width="12" customWidth="1"/>
    <col min="14" max="14" width="10.59765625" bestFit="1" customWidth="1"/>
    <col min="15" max="16" width="11.09765625" bestFit="1" customWidth="1"/>
    <col min="17" max="17" width="14.8984375" bestFit="1" customWidth="1"/>
    <col min="18" max="18" width="9.59765625" customWidth="1"/>
    <col min="21" max="21" width="18.8984375" customWidth="1"/>
    <col min="22" max="22" width="13.69921875" customWidth="1"/>
    <col min="23" max="23" width="8.19921875" bestFit="1" customWidth="1"/>
    <col min="24" max="25" width="9.3984375" bestFit="1" customWidth="1"/>
    <col min="26" max="26" width="9.09765625" bestFit="1" customWidth="1"/>
    <col min="27" max="27" width="9.3984375" bestFit="1" customWidth="1"/>
    <col min="28" max="28" width="17.8984375" bestFit="1" customWidth="1"/>
    <col min="29" max="30" width="9.3984375" bestFit="1" customWidth="1"/>
    <col min="31" max="35" width="9.09765625" bestFit="1" customWidth="1"/>
    <col min="37" max="37" width="15.19921875" customWidth="1"/>
  </cols>
  <sheetData>
    <row r="1" spans="1:32" ht="16.2" thickBot="1">
      <c r="A1" s="83">
        <v>4</v>
      </c>
      <c r="B1" s="365" t="s">
        <v>210</v>
      </c>
      <c r="C1" s="445"/>
      <c r="D1" s="489"/>
      <c r="E1" s="489"/>
      <c r="F1" s="489"/>
      <c r="G1" s="575"/>
      <c r="H1" s="548"/>
      <c r="I1" s="446"/>
      <c r="J1" s="257"/>
      <c r="K1" s="257"/>
      <c r="L1" s="257"/>
      <c r="M1" s="257"/>
      <c r="N1" s="257"/>
      <c r="O1" s="257"/>
    </row>
    <row r="2" spans="1:32" ht="16.2" thickBot="1">
      <c r="A2" s="374"/>
      <c r="B2" s="23" t="s">
        <v>144</v>
      </c>
      <c r="C2" s="429" t="s">
        <v>211</v>
      </c>
      <c r="D2" s="500" t="s">
        <v>212</v>
      </c>
      <c r="E2" s="500" t="s">
        <v>147</v>
      </c>
      <c r="F2" s="500" t="s">
        <v>213</v>
      </c>
      <c r="G2" s="430" t="s">
        <v>11</v>
      </c>
      <c r="H2" s="549" t="s">
        <v>12</v>
      </c>
      <c r="I2" s="424"/>
    </row>
    <row r="3" spans="1:32">
      <c r="A3" s="374"/>
      <c r="B3" s="130"/>
      <c r="C3" s="226" t="s">
        <v>214</v>
      </c>
      <c r="D3" s="476">
        <v>1</v>
      </c>
      <c r="E3" s="476">
        <v>25</v>
      </c>
      <c r="F3" s="476">
        <v>74</v>
      </c>
      <c r="G3" s="512">
        <v>54</v>
      </c>
      <c r="H3" s="550">
        <f>D3*E3</f>
        <v>25</v>
      </c>
      <c r="I3" s="424"/>
      <c r="J3" s="426"/>
      <c r="Q3" s="696"/>
      <c r="R3" s="696"/>
      <c r="S3" s="696"/>
    </row>
    <row r="4" spans="1:32">
      <c r="A4" s="374"/>
      <c r="B4" s="131"/>
      <c r="C4" s="228" t="s">
        <v>215</v>
      </c>
      <c r="D4" s="476">
        <v>1</v>
      </c>
      <c r="E4" s="476">
        <v>15</v>
      </c>
      <c r="F4" s="476">
        <v>37</v>
      </c>
      <c r="G4" s="512">
        <v>27</v>
      </c>
      <c r="H4" s="550">
        <f>D4*E4</f>
        <v>15</v>
      </c>
      <c r="I4" s="425"/>
      <c r="J4" s="423"/>
      <c r="Q4" s="80"/>
      <c r="R4" s="697"/>
      <c r="S4" s="698"/>
      <c r="U4" s="696"/>
      <c r="V4" s="696"/>
      <c r="W4" s="696"/>
    </row>
    <row r="5" spans="1:32">
      <c r="A5" s="374"/>
      <c r="B5" s="133"/>
      <c r="C5" s="228" t="s">
        <v>216</v>
      </c>
      <c r="D5" s="476">
        <v>1</v>
      </c>
      <c r="E5" s="487">
        <v>17.5</v>
      </c>
      <c r="F5" s="476">
        <v>20</v>
      </c>
      <c r="G5" s="512">
        <f t="shared" ref="G5:G13" si="0">D5*F5</f>
        <v>20</v>
      </c>
      <c r="H5" s="550">
        <f>D5*E5</f>
        <v>17.5</v>
      </c>
      <c r="I5" s="424"/>
      <c r="J5" s="423"/>
      <c r="P5" s="443"/>
      <c r="Q5" s="773" t="s">
        <v>217</v>
      </c>
      <c r="R5" s="476">
        <v>450</v>
      </c>
      <c r="S5" s="476">
        <v>5.5</v>
      </c>
      <c r="T5" s="476">
        <v>14</v>
      </c>
      <c r="U5" s="696"/>
      <c r="V5" s="699"/>
      <c r="W5" s="698"/>
    </row>
    <row r="6" spans="1:32">
      <c r="A6" s="248"/>
      <c r="B6" s="133"/>
      <c r="C6" s="228"/>
      <c r="D6" s="476"/>
      <c r="E6" s="476"/>
      <c r="F6" s="476"/>
      <c r="G6" s="512">
        <f t="shared" si="0"/>
        <v>0</v>
      </c>
      <c r="H6" s="550">
        <f>D6*E6</f>
        <v>0</v>
      </c>
      <c r="P6" s="384"/>
      <c r="Q6" s="773"/>
      <c r="R6" s="476">
        <v>450</v>
      </c>
      <c r="S6" s="487">
        <v>3.5</v>
      </c>
      <c r="T6" s="476">
        <v>3</v>
      </c>
      <c r="U6" s="80"/>
      <c r="V6" s="697"/>
      <c r="W6" s="698"/>
      <c r="X6" s="427"/>
    </row>
    <row r="7" spans="1:32">
      <c r="A7" s="248"/>
      <c r="B7" s="133"/>
      <c r="C7" s="228"/>
      <c r="D7" s="476"/>
      <c r="E7" s="476"/>
      <c r="F7" s="476"/>
      <c r="G7" s="512"/>
      <c r="H7" s="550"/>
      <c r="P7" s="384"/>
      <c r="Q7" s="773"/>
      <c r="R7" s="476">
        <v>450</v>
      </c>
      <c r="S7" s="476">
        <v>2.5</v>
      </c>
      <c r="T7" s="476">
        <v>3</v>
      </c>
      <c r="U7" s="696"/>
      <c r="V7" s="699"/>
      <c r="W7" s="698"/>
      <c r="X7" s="427"/>
    </row>
    <row r="8" spans="1:32">
      <c r="A8" s="248"/>
      <c r="B8" s="131"/>
      <c r="C8" s="228"/>
      <c r="D8" s="476"/>
      <c r="E8" s="476"/>
      <c r="F8" s="476"/>
      <c r="G8" s="512"/>
      <c r="H8" s="550"/>
      <c r="P8" s="384"/>
      <c r="Q8" s="80"/>
      <c r="R8" s="697"/>
      <c r="S8" s="698"/>
      <c r="T8" s="444"/>
      <c r="U8" s="696"/>
      <c r="V8" s="699"/>
      <c r="W8" s="698"/>
      <c r="X8" s="427"/>
      <c r="Y8" s="213"/>
      <c r="Z8" s="213"/>
      <c r="AA8" s="213"/>
      <c r="AB8" s="213"/>
      <c r="AC8" s="213"/>
      <c r="AD8" s="213"/>
      <c r="AE8" s="213"/>
      <c r="AF8" s="627"/>
    </row>
    <row r="9" spans="1:32">
      <c r="A9" s="248"/>
      <c r="C9" s="228"/>
      <c r="D9" s="476"/>
      <c r="E9" s="476"/>
      <c r="F9" s="476"/>
      <c r="G9" s="512"/>
      <c r="H9" s="550"/>
      <c r="P9" s="384"/>
      <c r="Q9" s="80"/>
      <c r="R9" s="697"/>
      <c r="S9" s="698"/>
      <c r="T9" s="444"/>
      <c r="U9" s="80"/>
      <c r="V9" s="697"/>
      <c r="W9" s="698"/>
      <c r="X9" s="427"/>
      <c r="Y9" s="204"/>
      <c r="Z9" s="204"/>
      <c r="AA9" s="204"/>
      <c r="AB9" s="204"/>
      <c r="AC9" s="204"/>
      <c r="AD9" s="204"/>
      <c r="AE9" s="204"/>
      <c r="AF9" s="951"/>
    </row>
    <row r="10" spans="1:32">
      <c r="A10" s="248"/>
      <c r="C10" s="228"/>
      <c r="D10" s="476"/>
      <c r="E10" s="476"/>
      <c r="F10" s="476"/>
      <c r="G10" s="512">
        <f t="shared" si="0"/>
        <v>0</v>
      </c>
      <c r="H10" s="550">
        <f>D10*E10</f>
        <v>0</v>
      </c>
      <c r="P10" s="384"/>
      <c r="Q10" s="80"/>
      <c r="R10" s="697"/>
      <c r="S10" s="698"/>
      <c r="T10" s="444"/>
      <c r="U10" s="696"/>
      <c r="V10" s="699"/>
      <c r="W10" s="698"/>
      <c r="X10" s="427"/>
      <c r="Y10" s="214"/>
      <c r="Z10" s="214"/>
      <c r="AA10" s="214"/>
      <c r="AB10" s="214"/>
      <c r="AC10" s="214"/>
      <c r="AD10" s="214"/>
      <c r="AE10" s="214"/>
      <c r="AF10" s="951"/>
    </row>
    <row r="11" spans="1:32">
      <c r="A11" s="248"/>
      <c r="C11" s="228"/>
      <c r="D11" s="476"/>
      <c r="E11" s="476"/>
      <c r="F11" s="476"/>
      <c r="G11" s="512">
        <f t="shared" si="0"/>
        <v>0</v>
      </c>
      <c r="H11" s="550">
        <f>D11*E11</f>
        <v>0</v>
      </c>
      <c r="P11" s="384"/>
      <c r="Q11" s="80"/>
      <c r="R11" s="697"/>
      <c r="S11" s="698"/>
      <c r="T11" s="444"/>
      <c r="U11" s="696"/>
      <c r="V11" s="699"/>
      <c r="W11" s="698"/>
      <c r="X11" s="427"/>
      <c r="Y11" s="214"/>
      <c r="Z11" s="214"/>
      <c r="AA11" s="214"/>
      <c r="AB11" s="214"/>
      <c r="AC11" s="214"/>
      <c r="AD11" s="214"/>
      <c r="AE11" s="214"/>
      <c r="AF11" s="951"/>
    </row>
    <row r="12" spans="1:32">
      <c r="A12" s="248"/>
      <c r="C12" s="228"/>
      <c r="D12" s="476"/>
      <c r="E12" s="476"/>
      <c r="F12" s="476"/>
      <c r="G12" s="512">
        <f t="shared" si="0"/>
        <v>0</v>
      </c>
      <c r="H12" s="550">
        <f>D12*E12</f>
        <v>0</v>
      </c>
      <c r="P12" s="384"/>
      <c r="Q12" s="80"/>
      <c r="R12" s="697"/>
      <c r="S12" s="698"/>
      <c r="T12" s="444"/>
      <c r="U12" s="696"/>
      <c r="V12" s="699"/>
      <c r="W12" s="698"/>
      <c r="X12" s="427"/>
      <c r="Y12" s="214"/>
      <c r="Z12" s="214"/>
      <c r="AA12" s="214"/>
      <c r="AB12" s="214"/>
      <c r="AC12" s="214"/>
      <c r="AD12" s="214"/>
      <c r="AE12" s="214"/>
      <c r="AF12" s="951"/>
    </row>
    <row r="13" spans="1:32" ht="16.2" thickBot="1">
      <c r="A13" s="248"/>
      <c r="C13" s="229"/>
      <c r="D13" s="476"/>
      <c r="E13" s="477"/>
      <c r="F13" s="477"/>
      <c r="G13" s="512">
        <f t="shared" si="0"/>
        <v>0</v>
      </c>
      <c r="H13" s="550">
        <f>D13*E13</f>
        <v>0</v>
      </c>
      <c r="P13" s="384"/>
      <c r="Q13" s="357"/>
      <c r="R13" s="356"/>
      <c r="S13" s="356"/>
      <c r="T13" s="444"/>
      <c r="U13" s="696"/>
      <c r="V13" s="699"/>
      <c r="W13" s="698"/>
      <c r="X13" s="427"/>
      <c r="Y13" s="204"/>
      <c r="Z13" s="204"/>
      <c r="AA13" s="204"/>
      <c r="AB13" s="204"/>
      <c r="AC13" s="204"/>
      <c r="AD13" s="204"/>
      <c r="AE13" s="204"/>
      <c r="AF13" s="199"/>
    </row>
    <row r="14" spans="1:32" ht="16.2" thickBot="1">
      <c r="A14" s="248"/>
      <c r="C14" s="428"/>
      <c r="D14" s="505"/>
      <c r="E14" s="506">
        <f>SUM(E3:E13)</f>
        <v>57.5</v>
      </c>
      <c r="F14" s="506">
        <f>SUM(F3:F13)</f>
        <v>131</v>
      </c>
      <c r="G14" s="513">
        <f>SUM(G3:G13)</f>
        <v>101</v>
      </c>
      <c r="H14" s="551">
        <f>SUM(H3:H13)</f>
        <v>57.5</v>
      </c>
      <c r="P14" s="384"/>
      <c r="Q14" s="357"/>
      <c r="R14" s="356"/>
      <c r="S14" s="356"/>
      <c r="T14" s="444"/>
      <c r="U14" s="41"/>
      <c r="V14" s="41"/>
      <c r="W14" s="41"/>
      <c r="X14" s="427"/>
      <c r="Y14" s="207"/>
      <c r="Z14" s="207"/>
      <c r="AA14" s="207"/>
      <c r="AB14" s="207"/>
      <c r="AC14" s="207"/>
      <c r="AD14" s="207"/>
      <c r="AE14" s="207"/>
      <c r="AF14" s="199"/>
    </row>
    <row r="15" spans="1:32">
      <c r="A15" s="248"/>
      <c r="P15" s="384"/>
      <c r="Q15" s="357"/>
      <c r="R15" s="356"/>
      <c r="S15" s="356"/>
      <c r="T15" s="444"/>
      <c r="U15" s="696"/>
      <c r="V15" s="696"/>
      <c r="W15" s="696"/>
      <c r="X15" s="427"/>
      <c r="Y15" s="204"/>
      <c r="Z15" s="204"/>
      <c r="AA15" s="204"/>
      <c r="AB15" s="204"/>
      <c r="AC15" s="204"/>
      <c r="AD15" s="204"/>
      <c r="AE15" s="204"/>
      <c r="AF15" s="199"/>
    </row>
    <row r="16" spans="1:32">
      <c r="A16" s="102" t="s">
        <v>98</v>
      </c>
      <c r="B16" s="129" t="s">
        <v>99</v>
      </c>
      <c r="C16" s="55"/>
      <c r="D16" s="482" t="s">
        <v>100</v>
      </c>
      <c r="E16" s="482" t="s">
        <v>101</v>
      </c>
      <c r="F16" s="482" t="s">
        <v>102</v>
      </c>
      <c r="G16" s="58" t="s">
        <v>103</v>
      </c>
      <c r="H16" s="518" t="s">
        <v>104</v>
      </c>
      <c r="I16" s="438" t="s">
        <v>105</v>
      </c>
      <c r="J16" s="439" t="s">
        <v>106</v>
      </c>
      <c r="K16" s="439" t="s">
        <v>107</v>
      </c>
      <c r="L16" s="154" t="s">
        <v>108</v>
      </c>
      <c r="M16" s="154" t="s">
        <v>109</v>
      </c>
      <c r="N16" s="144" t="s">
        <v>108</v>
      </c>
      <c r="O16" s="144" t="s">
        <v>109</v>
      </c>
      <c r="P16" s="384"/>
      <c r="Q16" s="357"/>
      <c r="R16" s="356"/>
      <c r="S16" s="356"/>
      <c r="T16" s="444"/>
      <c r="U16" s="696"/>
      <c r="V16" s="700"/>
      <c r="W16" s="700"/>
      <c r="X16" s="427"/>
      <c r="Y16" s="204"/>
      <c r="Z16" s="204"/>
      <c r="AA16" s="204"/>
      <c r="AB16" s="204"/>
      <c r="AC16" s="204"/>
      <c r="AD16" s="204"/>
      <c r="AE16" s="204"/>
      <c r="AF16" s="199"/>
    </row>
    <row r="17" spans="1:32">
      <c r="A17" s="299"/>
      <c r="B17" s="300"/>
      <c r="C17" s="300"/>
      <c r="D17" s="489"/>
      <c r="E17" s="489"/>
      <c r="F17" s="489"/>
      <c r="G17" s="562"/>
      <c r="H17" s="547"/>
      <c r="I17" s="300"/>
      <c r="J17" s="300"/>
      <c r="K17" s="300"/>
      <c r="L17" s="391"/>
      <c r="M17" s="391"/>
      <c r="N17" s="395"/>
      <c r="O17" s="395"/>
      <c r="P17" s="384"/>
      <c r="Q17" s="80"/>
      <c r="R17" s="80"/>
      <c r="S17" s="80"/>
      <c r="T17" s="22"/>
      <c r="U17" s="696"/>
      <c r="V17" s="700"/>
      <c r="W17" s="700"/>
      <c r="X17" s="427"/>
      <c r="Y17" s="204"/>
      <c r="Z17" s="204"/>
      <c r="AA17" s="204"/>
      <c r="AB17" s="204"/>
      <c r="AC17" s="204"/>
      <c r="AD17" s="204"/>
      <c r="AE17" s="204"/>
      <c r="AF17" s="199"/>
    </row>
    <row r="18" spans="1:32">
      <c r="A18" s="254"/>
      <c r="B18" s="183" t="s">
        <v>85</v>
      </c>
      <c r="C18" s="183"/>
      <c r="D18" s="485">
        <f>H14</f>
        <v>57.5</v>
      </c>
      <c r="F18" s="610">
        <v>0.1</v>
      </c>
      <c r="G18" s="297" t="s">
        <v>12</v>
      </c>
      <c r="H18" s="552">
        <f>D18*F18+D18</f>
        <v>63.25</v>
      </c>
      <c r="I18" s="183"/>
      <c r="J18" s="183"/>
      <c r="K18" s="183"/>
      <c r="L18" s="392"/>
      <c r="M18" s="392"/>
      <c r="N18" s="396"/>
      <c r="O18" s="396"/>
      <c r="P18" s="628"/>
      <c r="Q18" s="172"/>
      <c r="R18" s="172"/>
      <c r="S18" s="172"/>
      <c r="T18" s="22"/>
      <c r="U18" s="696"/>
      <c r="V18" s="700"/>
      <c r="W18" s="700"/>
      <c r="X18" s="427"/>
      <c r="Y18" s="204"/>
      <c r="Z18" s="204"/>
      <c r="AA18" s="204"/>
      <c r="AB18" s="204"/>
      <c r="AC18" s="204"/>
      <c r="AD18" s="204"/>
      <c r="AE18" s="204"/>
      <c r="AF18" s="199"/>
    </row>
    <row r="19" spans="1:32">
      <c r="A19" s="254"/>
      <c r="B19" s="183"/>
      <c r="C19" s="183"/>
      <c r="D19" s="485">
        <f>H14</f>
        <v>57.5</v>
      </c>
      <c r="E19" s="609">
        <v>0.15</v>
      </c>
      <c r="F19" s="610">
        <v>0.2</v>
      </c>
      <c r="G19" s="297" t="s">
        <v>10</v>
      </c>
      <c r="H19" s="552">
        <f>D19*E19*F19+D19*E19</f>
        <v>10.35</v>
      </c>
      <c r="J19" s="183"/>
      <c r="K19" s="183"/>
      <c r="L19" s="392"/>
      <c r="M19" s="392"/>
      <c r="N19" s="396"/>
      <c r="O19" s="396"/>
      <c r="Q19" s="172"/>
      <c r="R19" s="173"/>
      <c r="S19" s="174"/>
      <c r="T19" s="22"/>
      <c r="U19" s="696"/>
      <c r="V19" s="700"/>
      <c r="W19" s="700"/>
      <c r="X19" s="215"/>
      <c r="Y19" s="215"/>
      <c r="Z19" s="215"/>
      <c r="AA19" s="215"/>
      <c r="AB19" s="215"/>
      <c r="AC19" s="215"/>
      <c r="AD19" s="215"/>
      <c r="AE19" s="215"/>
      <c r="AF19" s="199"/>
    </row>
    <row r="20" spans="1:32">
      <c r="A20" s="254"/>
      <c r="B20" s="183"/>
      <c r="C20" s="183"/>
      <c r="G20" s="297"/>
      <c r="H20" s="298"/>
      <c r="J20" s="183"/>
      <c r="K20" s="183"/>
      <c r="L20" s="392"/>
      <c r="M20" s="392"/>
      <c r="N20" s="396"/>
      <c r="O20" s="396"/>
      <c r="Q20" s="172"/>
      <c r="R20" s="173"/>
      <c r="S20" s="174"/>
      <c r="T20" s="22"/>
      <c r="U20" s="696"/>
      <c r="V20" s="700"/>
      <c r="W20" s="700"/>
      <c r="X20" s="22"/>
      <c r="Y20" s="22"/>
      <c r="Z20" s="22"/>
      <c r="AA20" s="22"/>
    </row>
    <row r="21" spans="1:32">
      <c r="A21" s="254"/>
      <c r="B21" s="183"/>
      <c r="C21" s="259" t="s">
        <v>218</v>
      </c>
      <c r="D21" s="611"/>
      <c r="G21" s="297" t="s">
        <v>10</v>
      </c>
      <c r="H21" s="553">
        <f>H19</f>
        <v>10.35</v>
      </c>
      <c r="J21" s="183"/>
      <c r="K21" s="242" t="s">
        <v>96</v>
      </c>
      <c r="L21" s="245">
        <f>VLOOKUP(K21,Costings!A49:B59,2)</f>
        <v>185</v>
      </c>
      <c r="M21" s="246">
        <f>L21*H21</f>
        <v>1914.75</v>
      </c>
      <c r="N21" s="145">
        <f>L21*1.5</f>
        <v>277.5</v>
      </c>
      <c r="O21" s="146">
        <f>N21*H21</f>
        <v>2872.125</v>
      </c>
      <c r="Q21" s="172"/>
      <c r="R21" s="173"/>
      <c r="S21" s="174"/>
      <c r="T21" s="22"/>
      <c r="U21" s="696"/>
      <c r="V21" s="700"/>
      <c r="W21" s="700"/>
      <c r="X21" s="22"/>
      <c r="Y21" s="22"/>
      <c r="Z21" s="22"/>
      <c r="AA21" s="22"/>
    </row>
    <row r="22" spans="1:32">
      <c r="A22" s="254"/>
      <c r="B22" s="183"/>
      <c r="C22" s="259" t="s">
        <v>219</v>
      </c>
      <c r="D22" s="611"/>
      <c r="G22" s="297" t="s">
        <v>10</v>
      </c>
      <c r="H22" s="553">
        <v>8.35</v>
      </c>
      <c r="J22" s="183"/>
      <c r="K22" s="183"/>
      <c r="L22" s="392"/>
      <c r="M22" s="431">
        <f>L22*H22</f>
        <v>0</v>
      </c>
      <c r="N22" s="396">
        <f>L22*1.5</f>
        <v>0</v>
      </c>
      <c r="O22" s="146">
        <f>N22*H22</f>
        <v>0</v>
      </c>
      <c r="Q22" s="172"/>
      <c r="R22" s="173"/>
      <c r="S22" s="174"/>
      <c r="T22" s="22"/>
      <c r="U22" s="41"/>
      <c r="V22" s="41"/>
      <c r="W22" s="41"/>
      <c r="X22" s="22"/>
      <c r="Y22" s="22"/>
      <c r="Z22" s="22"/>
      <c r="AA22" s="22"/>
    </row>
    <row r="23" spans="1:32">
      <c r="A23" s="254"/>
      <c r="B23" s="183"/>
      <c r="C23" s="259" t="s">
        <v>220</v>
      </c>
      <c r="D23" s="611"/>
      <c r="G23" s="297" t="s">
        <v>10</v>
      </c>
      <c r="H23" s="553">
        <v>8.35</v>
      </c>
      <c r="J23" s="183"/>
      <c r="K23" s="183"/>
      <c r="L23" s="392">
        <v>167.97</v>
      </c>
      <c r="M23" s="431">
        <f>L23*H23</f>
        <v>1402.5494999999999</v>
      </c>
      <c r="N23" s="396">
        <f>L23*1.5</f>
        <v>251.95499999999998</v>
      </c>
      <c r="O23" s="146">
        <f>N23*H23</f>
        <v>2103.8242499999997</v>
      </c>
      <c r="Q23" s="172"/>
      <c r="R23" s="173"/>
      <c r="S23" s="174"/>
      <c r="T23" s="22"/>
      <c r="U23" s="22"/>
      <c r="V23" s="22"/>
      <c r="W23" s="174"/>
      <c r="X23" s="22"/>
      <c r="Y23" s="22"/>
      <c r="Z23" s="22"/>
      <c r="AA23" s="22"/>
    </row>
    <row r="24" spans="1:32">
      <c r="A24" s="254"/>
      <c r="B24" s="183" t="s">
        <v>157</v>
      </c>
      <c r="C24" s="183"/>
      <c r="G24" s="297"/>
      <c r="H24" s="553"/>
      <c r="J24" s="183"/>
      <c r="K24" s="183"/>
      <c r="L24" s="392"/>
      <c r="M24" s="392"/>
      <c r="N24" s="396"/>
      <c r="O24" s="146"/>
      <c r="Q24" s="172"/>
      <c r="R24" s="173"/>
      <c r="S24" s="174"/>
      <c r="T24" s="22"/>
      <c r="U24" s="22"/>
      <c r="V24" s="22"/>
      <c r="W24" s="174"/>
      <c r="X24" s="22"/>
      <c r="Y24" s="22"/>
      <c r="Z24" s="22"/>
      <c r="AA24" s="22"/>
    </row>
    <row r="25" spans="1:32">
      <c r="A25" s="254"/>
      <c r="B25" s="183"/>
      <c r="C25" s="259" t="s">
        <v>221</v>
      </c>
      <c r="D25" s="611"/>
      <c r="G25" s="297" t="s">
        <v>12</v>
      </c>
      <c r="H25" s="553">
        <f>H18</f>
        <v>63.25</v>
      </c>
      <c r="J25" s="183"/>
      <c r="K25" s="469" t="s">
        <v>61</v>
      </c>
      <c r="L25" s="418">
        <f>VLOOKUP(K25,Costings!A13:D26,4,)</f>
        <v>10.5</v>
      </c>
      <c r="M25" s="431">
        <f>H25*L25</f>
        <v>664.125</v>
      </c>
      <c r="N25" s="396">
        <f>L25*1.5</f>
        <v>15.75</v>
      </c>
      <c r="O25" s="146">
        <f>N25*H25</f>
        <v>996.1875</v>
      </c>
      <c r="Q25" s="172"/>
      <c r="R25" s="173"/>
      <c r="S25" s="174"/>
      <c r="T25" s="22"/>
      <c r="U25" s="22"/>
      <c r="V25" s="22"/>
      <c r="AA25" s="22"/>
    </row>
    <row r="26" spans="1:32">
      <c r="A26" s="254"/>
      <c r="B26" s="183"/>
      <c r="C26" s="259" t="s">
        <v>222</v>
      </c>
      <c r="D26" s="611"/>
      <c r="G26" s="297" t="s">
        <v>12</v>
      </c>
      <c r="H26" s="553">
        <f>H18</f>
        <v>63.25</v>
      </c>
      <c r="J26" s="183"/>
      <c r="K26" s="183"/>
      <c r="L26" s="392">
        <v>6</v>
      </c>
      <c r="M26" s="431">
        <f>L26*H26</f>
        <v>379.5</v>
      </c>
      <c r="N26" s="396">
        <f>L26*1.5</f>
        <v>9</v>
      </c>
      <c r="O26" s="146">
        <f>N26*H26</f>
        <v>569.25</v>
      </c>
      <c r="Q26" s="22"/>
      <c r="R26" s="172"/>
      <c r="T26" s="22"/>
      <c r="U26" s="22"/>
      <c r="V26" s="22"/>
      <c r="AA26" s="22"/>
    </row>
    <row r="27" spans="1:32">
      <c r="A27" s="254"/>
      <c r="B27" s="183"/>
      <c r="C27" s="183"/>
      <c r="G27" s="297"/>
      <c r="H27" s="298"/>
      <c r="J27" s="183"/>
      <c r="K27" s="183"/>
      <c r="L27" s="392"/>
      <c r="M27" s="392"/>
      <c r="N27" s="396"/>
      <c r="O27" s="389"/>
      <c r="Q27" s="172"/>
      <c r="R27" s="172"/>
      <c r="S27" s="172"/>
      <c r="T27" s="172"/>
      <c r="U27" s="172"/>
      <c r="V27" s="172"/>
      <c r="W27" s="172"/>
      <c r="X27" s="172"/>
      <c r="AA27" s="22"/>
    </row>
    <row r="28" spans="1:32">
      <c r="A28" s="254"/>
      <c r="B28" s="183"/>
      <c r="C28" s="259" t="s">
        <v>223</v>
      </c>
      <c r="D28" s="485">
        <v>7</v>
      </c>
      <c r="E28" s="496">
        <v>0.4</v>
      </c>
      <c r="F28" s="485">
        <v>1.5</v>
      </c>
      <c r="G28" s="297" t="s">
        <v>224</v>
      </c>
      <c r="H28" s="553">
        <f>ROUNDUP(((D28/E28+F14)*2),0)</f>
        <v>297</v>
      </c>
      <c r="I28" s="183"/>
      <c r="J28" s="183">
        <f>SUM(J11:J24)-J18</f>
        <v>0</v>
      </c>
      <c r="K28" s="183"/>
      <c r="L28" s="392">
        <v>6</v>
      </c>
      <c r="M28" s="431">
        <f>L28*H28</f>
        <v>1782</v>
      </c>
      <c r="N28" s="396">
        <f>L28*1.5</f>
        <v>9</v>
      </c>
      <c r="O28" s="412">
        <f>N28*H28</f>
        <v>2673</v>
      </c>
      <c r="Q28" s="172"/>
      <c r="R28" s="172"/>
      <c r="S28" s="701"/>
      <c r="T28" s="172"/>
      <c r="U28" s="701"/>
      <c r="V28" s="172"/>
      <c r="W28" s="701"/>
      <c r="X28" s="172"/>
      <c r="AA28" s="22"/>
    </row>
    <row r="29" spans="1:32">
      <c r="A29" s="254"/>
      <c r="B29" s="183"/>
      <c r="C29" s="183"/>
      <c r="G29" s="297"/>
      <c r="H29" s="298"/>
      <c r="I29" s="183"/>
      <c r="J29" s="183"/>
      <c r="K29" s="183"/>
      <c r="L29" s="182"/>
      <c r="M29" s="738"/>
      <c r="N29" s="268"/>
      <c r="O29" s="268"/>
      <c r="Q29" s="172"/>
      <c r="R29" s="172"/>
      <c r="S29" s="702"/>
      <c r="T29" s="174"/>
      <c r="U29" s="702"/>
      <c r="V29" s="174"/>
      <c r="W29" s="702"/>
      <c r="X29" s="174"/>
      <c r="AA29" s="22"/>
    </row>
    <row r="30" spans="1:32">
      <c r="A30" s="254"/>
      <c r="B30" s="183"/>
      <c r="C30" s="259" t="s">
        <v>225</v>
      </c>
      <c r="D30" s="485">
        <v>0.8</v>
      </c>
      <c r="E30" s="485">
        <f>H28</f>
        <v>297</v>
      </c>
      <c r="G30" s="297" t="s">
        <v>11</v>
      </c>
      <c r="H30" s="794">
        <f>D30*E30</f>
        <v>237.60000000000002</v>
      </c>
      <c r="I30" s="774" t="s">
        <v>40</v>
      </c>
      <c r="J30" s="793">
        <f>VLOOKUP(I30,Costings!$A$2:$E$10,2)</f>
        <v>1.61</v>
      </c>
      <c r="K30" s="246">
        <f>J30*H30/1000</f>
        <v>0.38253600000000004</v>
      </c>
      <c r="L30" s="392">
        <v>1350</v>
      </c>
      <c r="M30" s="431">
        <f>K30*L30</f>
        <v>516.42360000000008</v>
      </c>
      <c r="N30" s="145">
        <f>L30*1.5</f>
        <v>2025</v>
      </c>
      <c r="O30" s="267">
        <f>N30*K30</f>
        <v>774.63540000000012</v>
      </c>
      <c r="Q30" s="172"/>
      <c r="R30" s="172"/>
      <c r="S30" s="702"/>
      <c r="T30" s="174"/>
      <c r="U30" s="702"/>
      <c r="V30" s="174"/>
      <c r="W30" s="702"/>
      <c r="X30" s="174"/>
      <c r="AA30" s="22"/>
    </row>
    <row r="31" spans="1:32">
      <c r="A31" s="254"/>
      <c r="B31" s="183"/>
      <c r="C31" s="259" t="s">
        <v>226</v>
      </c>
      <c r="G31" s="297" t="s">
        <v>11</v>
      </c>
      <c r="H31" s="552">
        <v>26</v>
      </c>
      <c r="I31" s="183"/>
      <c r="J31" s="183"/>
      <c r="K31" s="183"/>
      <c r="L31" s="392">
        <v>7</v>
      </c>
      <c r="M31" s="431">
        <f>L31*H31</f>
        <v>182</v>
      </c>
      <c r="N31" s="145">
        <f>L31*1.5</f>
        <v>10.5</v>
      </c>
      <c r="O31" s="267">
        <f>N31*H31</f>
        <v>273</v>
      </c>
      <c r="Q31" s="172"/>
      <c r="R31" s="172"/>
      <c r="S31" s="702"/>
      <c r="T31" s="174"/>
      <c r="U31" s="702"/>
      <c r="V31" s="174"/>
      <c r="W31" s="702"/>
      <c r="X31" s="174"/>
      <c r="AA31" s="22"/>
    </row>
    <row r="32" spans="1:32">
      <c r="A32" s="254"/>
      <c r="B32" s="183"/>
      <c r="C32" s="183"/>
      <c r="G32" s="297"/>
      <c r="H32" s="298"/>
      <c r="I32" s="183"/>
      <c r="J32" s="183"/>
      <c r="K32" s="183"/>
      <c r="L32" s="392"/>
      <c r="M32" s="392"/>
      <c r="N32" s="396"/>
      <c r="O32" s="389"/>
      <c r="Q32" s="172"/>
      <c r="R32" s="172"/>
      <c r="S32" s="702"/>
      <c r="T32" s="174"/>
      <c r="U32" s="702"/>
      <c r="V32" s="174"/>
      <c r="W32" s="702"/>
      <c r="X32" s="174"/>
      <c r="AA32" s="22"/>
    </row>
    <row r="33" spans="1:27">
      <c r="A33" s="254"/>
      <c r="B33" s="183"/>
      <c r="C33" s="259" t="s">
        <v>227</v>
      </c>
      <c r="D33" s="485">
        <v>30</v>
      </c>
      <c r="E33" s="485">
        <f>H28</f>
        <v>297</v>
      </c>
      <c r="G33" s="297" t="s">
        <v>228</v>
      </c>
      <c r="H33" s="553">
        <f>D33*E33</f>
        <v>8910</v>
      </c>
      <c r="I33" s="183"/>
      <c r="J33" s="183"/>
      <c r="K33" s="183"/>
      <c r="L33" s="392"/>
      <c r="M33" s="392"/>
      <c r="N33" s="396"/>
      <c r="O33" s="389"/>
      <c r="Q33" s="172"/>
      <c r="R33" s="80"/>
      <c r="S33" s="702"/>
      <c r="T33" s="174"/>
      <c r="U33" s="702"/>
      <c r="V33" s="174"/>
      <c r="W33" s="702"/>
      <c r="X33" s="174"/>
      <c r="AA33" s="22"/>
    </row>
    <row r="34" spans="1:27">
      <c r="A34" s="254"/>
      <c r="B34" s="183"/>
      <c r="C34" s="183"/>
      <c r="G34" s="297" t="s">
        <v>229</v>
      </c>
      <c r="H34" s="298">
        <v>550</v>
      </c>
      <c r="I34" s="183"/>
      <c r="J34" s="183"/>
      <c r="K34" s="183"/>
      <c r="L34" s="392"/>
      <c r="M34" s="392"/>
      <c r="N34" s="396"/>
      <c r="O34" s="389"/>
      <c r="Q34" s="80"/>
      <c r="R34" s="80"/>
      <c r="S34" s="702"/>
      <c r="T34" s="174"/>
      <c r="U34" s="702"/>
      <c r="V34" s="174"/>
      <c r="W34" s="702"/>
      <c r="X34" s="174"/>
      <c r="AA34" s="22"/>
    </row>
    <row r="35" spans="1:27">
      <c r="A35" s="254"/>
      <c r="B35" s="183"/>
      <c r="C35" s="183"/>
      <c r="G35" s="297" t="s">
        <v>230</v>
      </c>
      <c r="H35" s="536">
        <f>ROUNDUP((H33/H34),0)</f>
        <v>17</v>
      </c>
      <c r="I35" s="183"/>
      <c r="J35" s="183"/>
      <c r="K35" s="183"/>
      <c r="L35" s="392">
        <v>35</v>
      </c>
      <c r="M35" s="435">
        <f>H35*L35</f>
        <v>595</v>
      </c>
      <c r="N35" s="396">
        <f>L35*1.5</f>
        <v>52.5</v>
      </c>
      <c r="O35" s="434">
        <f>H35*N35</f>
        <v>892.5</v>
      </c>
      <c r="Q35" s="80"/>
      <c r="R35" s="172"/>
      <c r="S35" s="702"/>
      <c r="T35" s="174"/>
      <c r="U35" s="702"/>
      <c r="V35" s="174"/>
      <c r="W35" s="702"/>
      <c r="X35" s="174"/>
      <c r="AA35" s="22"/>
    </row>
    <row r="36" spans="1:27" ht="16.2" thickBot="1">
      <c r="A36" s="254"/>
      <c r="B36" s="183"/>
      <c r="C36" s="183"/>
      <c r="G36" s="297"/>
      <c r="H36" s="298"/>
      <c r="I36" s="183"/>
      <c r="J36" s="183"/>
      <c r="K36" s="183"/>
      <c r="L36" s="392"/>
      <c r="M36" s="435"/>
      <c r="N36" s="396"/>
      <c r="O36" s="434"/>
      <c r="Q36" s="172"/>
      <c r="R36" s="172"/>
      <c r="S36" s="702"/>
      <c r="T36" s="174"/>
      <c r="U36" s="702"/>
      <c r="V36" s="174"/>
      <c r="W36" s="702"/>
      <c r="X36" s="174"/>
      <c r="AA36" s="22"/>
    </row>
    <row r="37" spans="1:27">
      <c r="A37" s="254"/>
      <c r="B37" s="183"/>
      <c r="C37" s="259" t="s">
        <v>231</v>
      </c>
      <c r="D37" s="496"/>
      <c r="E37" s="496"/>
      <c r="F37" s="496"/>
      <c r="G37" s="297" t="s">
        <v>11</v>
      </c>
      <c r="H37" s="298">
        <v>170</v>
      </c>
      <c r="I37" s="183"/>
      <c r="J37" s="734" t="s">
        <v>39</v>
      </c>
      <c r="K37" s="245">
        <f>VLOOKUP(J37,Costings!$A$2:$E$10,2)</f>
        <v>0.91</v>
      </c>
      <c r="L37" s="392">
        <v>2500</v>
      </c>
      <c r="M37" s="435">
        <f>(H37*K37)/1000*L37</f>
        <v>386.75</v>
      </c>
      <c r="N37" s="396">
        <f>L37*1.5</f>
        <v>3750</v>
      </c>
      <c r="O37" s="434">
        <f>(H37*K37)/1000*N37</f>
        <v>580.125</v>
      </c>
      <c r="Q37" s="172"/>
      <c r="R37" s="172"/>
      <c r="S37" s="702"/>
      <c r="T37" s="174"/>
      <c r="U37" s="702"/>
      <c r="V37" s="174"/>
      <c r="W37" s="702"/>
      <c r="X37" s="174"/>
      <c r="AA37" s="22"/>
    </row>
    <row r="38" spans="1:27" ht="19.95" customHeight="1">
      <c r="A38" s="254"/>
      <c r="B38" s="183"/>
      <c r="C38" s="259"/>
      <c r="G38" s="297"/>
      <c r="H38" s="298"/>
      <c r="I38" s="183"/>
      <c r="J38" s="183"/>
      <c r="K38" s="183"/>
      <c r="L38" s="392"/>
      <c r="M38" s="435"/>
      <c r="N38" s="396"/>
      <c r="O38" s="434"/>
      <c r="AA38" s="22"/>
    </row>
    <row r="39" spans="1:27">
      <c r="A39" s="254"/>
      <c r="B39" s="183"/>
      <c r="C39" s="259"/>
      <c r="G39" s="297"/>
      <c r="H39" s="298"/>
      <c r="I39" s="183"/>
      <c r="J39" s="183"/>
      <c r="K39" s="183"/>
      <c r="L39" s="392"/>
      <c r="M39" s="435"/>
      <c r="N39" s="396"/>
      <c r="O39" s="434"/>
      <c r="U39" s="172"/>
      <c r="V39" s="172"/>
      <c r="W39" s="703"/>
      <c r="X39" s="703"/>
      <c r="Y39" s="704"/>
      <c r="Z39" s="705"/>
      <c r="AA39" s="22"/>
    </row>
    <row r="40" spans="1:27">
      <c r="A40" s="254"/>
      <c r="B40" s="183"/>
      <c r="C40" s="259" t="s">
        <v>232</v>
      </c>
      <c r="G40" s="475">
        <v>24</v>
      </c>
      <c r="H40" s="298"/>
      <c r="I40" s="183"/>
      <c r="J40" s="183"/>
      <c r="K40" s="183"/>
      <c r="L40" s="392">
        <v>16</v>
      </c>
      <c r="M40" s="435">
        <f>G40*L40</f>
        <v>384</v>
      </c>
      <c r="N40" s="396">
        <f>L40*1.5</f>
        <v>24</v>
      </c>
      <c r="O40" s="434">
        <f>G40*N40</f>
        <v>576</v>
      </c>
      <c r="U40" s="172"/>
      <c r="V40" s="172"/>
      <c r="W40" s="703"/>
      <c r="X40" s="703"/>
      <c r="Y40" s="704"/>
      <c r="Z40" s="705"/>
      <c r="AA40" s="22"/>
    </row>
    <row r="41" spans="1:27">
      <c r="A41" s="254"/>
      <c r="B41" s="183"/>
      <c r="C41" s="183"/>
      <c r="G41" s="297"/>
      <c r="H41" s="298"/>
      <c r="I41" s="183"/>
      <c r="J41" s="183"/>
      <c r="K41" s="183"/>
      <c r="L41" s="392"/>
      <c r="M41" s="392"/>
      <c r="N41" s="396"/>
      <c r="O41" s="434"/>
      <c r="U41" s="172"/>
      <c r="V41" s="172"/>
      <c r="W41" s="703"/>
      <c r="X41" s="703"/>
      <c r="Y41" s="704"/>
      <c r="Z41" s="705"/>
      <c r="AA41" s="22"/>
    </row>
    <row r="42" spans="1:27">
      <c r="A42" s="254"/>
      <c r="B42" s="183"/>
      <c r="C42" s="183"/>
      <c r="G42" s="297"/>
      <c r="H42" s="298"/>
      <c r="I42" s="183"/>
      <c r="J42" s="183"/>
      <c r="K42" s="183"/>
      <c r="L42" s="392"/>
      <c r="M42" s="392"/>
      <c r="N42" s="396"/>
      <c r="O42" s="434"/>
      <c r="U42" s="172"/>
      <c r="V42" s="172"/>
      <c r="W42" s="703"/>
      <c r="X42" s="703"/>
      <c r="Y42" s="704"/>
      <c r="Z42" s="705"/>
      <c r="AA42" s="22"/>
    </row>
    <row r="43" spans="1:27">
      <c r="A43" s="254"/>
      <c r="B43" s="183" t="s">
        <v>233</v>
      </c>
      <c r="C43" s="183"/>
      <c r="D43" s="485">
        <f>H21</f>
        <v>10.35</v>
      </c>
      <c r="F43" s="485">
        <v>1.8</v>
      </c>
      <c r="G43" s="297" t="s">
        <v>10</v>
      </c>
      <c r="H43" s="553">
        <f>D43*F43</f>
        <v>18.63</v>
      </c>
      <c r="J43" s="183"/>
      <c r="K43" s="183"/>
      <c r="L43" s="392">
        <v>25</v>
      </c>
      <c r="M43" s="431">
        <f>H43*L43</f>
        <v>465.75</v>
      </c>
      <c r="N43" s="396">
        <f>L43*1.5</f>
        <v>37.5</v>
      </c>
      <c r="O43" s="434">
        <f>H43*N43</f>
        <v>698.625</v>
      </c>
      <c r="U43" s="172"/>
      <c r="V43" s="172"/>
      <c r="W43" s="703"/>
      <c r="X43" s="703"/>
      <c r="Y43" s="704"/>
      <c r="Z43" s="705"/>
      <c r="AA43" s="22"/>
    </row>
    <row r="44" spans="1:27">
      <c r="A44" s="254"/>
      <c r="B44" s="183"/>
      <c r="C44" s="183" t="s">
        <v>234</v>
      </c>
      <c r="G44" s="297" t="s">
        <v>128</v>
      </c>
      <c r="H44" s="712">
        <v>1</v>
      </c>
      <c r="J44" s="183"/>
      <c r="K44" s="183"/>
      <c r="L44" s="392">
        <v>1000</v>
      </c>
      <c r="M44" s="431">
        <f>H44*L44</f>
        <v>1000</v>
      </c>
      <c r="N44" s="396">
        <f>L44*1.5</f>
        <v>1500</v>
      </c>
      <c r="O44" s="434">
        <f>H44*N44</f>
        <v>1500</v>
      </c>
      <c r="U44" s="172"/>
      <c r="V44" s="172"/>
      <c r="W44" s="703"/>
      <c r="X44" s="703"/>
      <c r="Y44" s="704"/>
      <c r="Z44" s="705"/>
      <c r="AA44" s="37"/>
    </row>
    <row r="45" spans="1:27">
      <c r="A45" s="254"/>
      <c r="B45" s="183"/>
      <c r="C45" s="183"/>
      <c r="G45" s="297"/>
      <c r="H45" s="553"/>
      <c r="J45" s="183"/>
      <c r="K45" s="183"/>
      <c r="L45" s="392"/>
      <c r="M45" s="431"/>
      <c r="N45" s="396"/>
      <c r="O45" s="434"/>
      <c r="U45" s="172"/>
      <c r="V45" s="172"/>
      <c r="W45" s="703"/>
      <c r="X45" s="703"/>
      <c r="Y45" s="704"/>
      <c r="Z45" s="705"/>
      <c r="AA45" s="37"/>
    </row>
    <row r="46" spans="1:27">
      <c r="A46" s="88"/>
      <c r="B46" s="131"/>
      <c r="C46" s="942" t="s">
        <v>235</v>
      </c>
      <c r="D46" s="952"/>
      <c r="E46" s="952"/>
      <c r="F46" s="952"/>
      <c r="G46" s="33" t="s">
        <v>236</v>
      </c>
      <c r="H46" s="554">
        <f>H49</f>
        <v>0</v>
      </c>
      <c r="I46" s="35"/>
      <c r="J46" s="36"/>
      <c r="K46" s="36"/>
      <c r="L46" s="155">
        <v>1</v>
      </c>
      <c r="M46" s="156">
        <f>H46*L46</f>
        <v>0</v>
      </c>
      <c r="N46" s="145">
        <v>1.5</v>
      </c>
      <c r="O46" s="146">
        <f>N46*H46</f>
        <v>0</v>
      </c>
      <c r="U46" s="172"/>
      <c r="V46" s="172"/>
      <c r="W46" s="703"/>
      <c r="X46" s="703"/>
      <c r="Y46" s="704"/>
      <c r="Z46" s="705"/>
      <c r="AA46" s="37"/>
    </row>
    <row r="47" spans="1:27">
      <c r="A47" s="89"/>
      <c r="B47" s="133"/>
      <c r="C47" s="43"/>
      <c r="D47" s="483">
        <v>180</v>
      </c>
      <c r="E47" s="476">
        <v>0</v>
      </c>
      <c r="F47" s="486"/>
      <c r="G47" s="33"/>
      <c r="H47" s="533">
        <f>D47*E47</f>
        <v>0</v>
      </c>
      <c r="I47" s="35"/>
      <c r="J47" s="36"/>
      <c r="K47" s="36"/>
      <c r="L47" s="159"/>
      <c r="M47" s="160"/>
      <c r="N47" s="149"/>
      <c r="O47" s="150"/>
      <c r="U47" s="172"/>
      <c r="V47" s="172"/>
      <c r="W47" s="703"/>
      <c r="X47" s="703"/>
      <c r="Y47" s="704"/>
      <c r="Z47" s="705"/>
      <c r="AA47" s="37"/>
    </row>
    <row r="48" spans="1:27">
      <c r="A48" s="89"/>
      <c r="B48" s="133"/>
      <c r="C48" s="43" t="s">
        <v>237</v>
      </c>
      <c r="D48" s="476"/>
      <c r="E48" s="483">
        <v>7</v>
      </c>
      <c r="F48" s="483"/>
      <c r="G48" s="33"/>
      <c r="H48" s="533">
        <f>D48*E48</f>
        <v>0</v>
      </c>
      <c r="I48" s="35"/>
      <c r="J48" s="36"/>
      <c r="K48" s="36"/>
      <c r="L48" s="159"/>
      <c r="M48" s="160"/>
      <c r="N48" s="149"/>
      <c r="O48" s="150"/>
      <c r="U48" s="80"/>
      <c r="V48" s="615"/>
      <c r="W48" s="607"/>
      <c r="X48" s="616"/>
      <c r="Y48" s="324"/>
      <c r="AA48" s="37"/>
    </row>
    <row r="49" spans="1:27" ht="16.2" thickBot="1">
      <c r="A49" s="89"/>
      <c r="B49" s="133"/>
      <c r="C49" s="43"/>
      <c r="D49" s="483"/>
      <c r="E49" s="483"/>
      <c r="F49" s="483"/>
      <c r="G49" s="33"/>
      <c r="H49" s="556">
        <f>SUM(H47:H48)</f>
        <v>0</v>
      </c>
      <c r="I49" s="35"/>
      <c r="J49" s="36"/>
      <c r="K49" s="453"/>
      <c r="L49" s="743"/>
      <c r="M49" s="160"/>
      <c r="N49" s="149"/>
      <c r="O49" s="150"/>
      <c r="U49" s="80"/>
      <c r="V49" s="615"/>
      <c r="W49" s="607"/>
      <c r="X49" s="616"/>
      <c r="Y49" s="324"/>
      <c r="AA49" s="37"/>
    </row>
    <row r="50" spans="1:27" ht="16.2" thickTop="1">
      <c r="A50" s="254"/>
      <c r="B50" s="183"/>
      <c r="C50" s="183"/>
      <c r="G50" s="297"/>
      <c r="H50" s="298"/>
      <c r="I50" s="183"/>
      <c r="J50" s="183"/>
      <c r="K50" s="745"/>
      <c r="L50" s="738"/>
      <c r="M50" s="741"/>
      <c r="N50" s="181"/>
      <c r="O50" s="747"/>
      <c r="U50" s="183"/>
      <c r="V50" s="615"/>
      <c r="W50" s="607"/>
      <c r="X50" s="616"/>
      <c r="Y50" s="324"/>
      <c r="AA50" s="37"/>
    </row>
    <row r="51" spans="1:27">
      <c r="A51" s="254"/>
      <c r="B51" s="183" t="s">
        <v>238</v>
      </c>
      <c r="C51" s="183" t="s">
        <v>239</v>
      </c>
      <c r="G51" s="574"/>
      <c r="H51" s="739">
        <v>500</v>
      </c>
      <c r="I51" s="183"/>
      <c r="J51" s="183"/>
      <c r="K51" s="745"/>
      <c r="L51" s="738"/>
      <c r="M51" s="742">
        <f>H51</f>
        <v>500</v>
      </c>
      <c r="N51" s="181"/>
      <c r="O51" s="748">
        <f>M51*1.5</f>
        <v>750</v>
      </c>
      <c r="U51" s="183"/>
      <c r="V51" s="615"/>
      <c r="W51" s="607"/>
      <c r="X51" s="616"/>
      <c r="Y51" s="324"/>
      <c r="AA51" s="22"/>
    </row>
    <row r="52" spans="1:27">
      <c r="A52" s="254"/>
      <c r="B52" s="183"/>
      <c r="C52" s="183"/>
      <c r="G52" s="574"/>
      <c r="H52" s="739"/>
      <c r="I52" s="183"/>
      <c r="J52" s="183"/>
      <c r="K52" s="746" t="s">
        <v>12</v>
      </c>
      <c r="L52" s="744">
        <f>M54/H18</f>
        <v>160.83554308300393</v>
      </c>
      <c r="M52" s="740"/>
      <c r="N52" s="437">
        <f>O54/H18</f>
        <v>241.25331462450595</v>
      </c>
      <c r="O52" s="748"/>
      <c r="U52" s="183"/>
      <c r="V52" s="615"/>
      <c r="W52" s="607"/>
      <c r="X52" s="616"/>
      <c r="Y52" s="324"/>
      <c r="AA52" s="22"/>
    </row>
    <row r="53" spans="1:27">
      <c r="A53" s="254"/>
      <c r="B53" s="183"/>
      <c r="C53" s="183"/>
      <c r="G53" s="574"/>
      <c r="H53" s="739"/>
      <c r="I53" s="183"/>
      <c r="J53" s="183"/>
      <c r="K53" s="348" t="s">
        <v>10</v>
      </c>
      <c r="L53" s="436">
        <f>M54/H19</f>
        <v>982.88387439613518</v>
      </c>
      <c r="M53" s="740"/>
      <c r="N53" s="437">
        <f>O54/H19</f>
        <v>1474.3258115942031</v>
      </c>
      <c r="O53" s="748"/>
      <c r="U53" s="183"/>
      <c r="V53" s="615"/>
      <c r="W53" s="607"/>
      <c r="X53" s="616"/>
      <c r="Y53" s="324"/>
      <c r="AA53" s="22"/>
    </row>
    <row r="54" spans="1:27">
      <c r="A54" s="90"/>
      <c r="B54" s="132"/>
      <c r="C54" s="67"/>
      <c r="D54" s="499"/>
      <c r="E54" s="499"/>
      <c r="F54" s="499"/>
      <c r="G54" s="69"/>
      <c r="H54" s="528"/>
      <c r="I54" s="68"/>
      <c r="J54" s="71"/>
      <c r="K54" s="71"/>
      <c r="L54" s="154" t="s">
        <v>140</v>
      </c>
      <c r="M54" s="154">
        <f>SUM(M17:M51)</f>
        <v>10172.848099999999</v>
      </c>
      <c r="N54" s="144" t="s">
        <v>140</v>
      </c>
      <c r="O54" s="144">
        <f>SUM(O17:O51)</f>
        <v>15259.272150000001</v>
      </c>
      <c r="U54" s="183"/>
      <c r="V54" s="615"/>
      <c r="W54" s="607"/>
      <c r="X54" s="616"/>
      <c r="Y54" s="324"/>
      <c r="AA54" s="22"/>
    </row>
  </sheetData>
  <mergeCells count="2">
    <mergeCell ref="AF9:AF12"/>
    <mergeCell ref="C46:F46"/>
  </mergeCells>
  <pageMargins left="0.7" right="0.7" top="0.75" bottom="0.75" header="0.3" footer="0.3"/>
  <pageSetup paperSize="9" scale="4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343"/>
  <sheetViews>
    <sheetView view="pageBreakPreview" topLeftCell="A59" zoomScale="75" zoomScaleNormal="75" zoomScaleSheetLayoutView="75" workbookViewId="0">
      <selection activeCell="N100" sqref="A100:N100"/>
    </sheetView>
  </sheetViews>
  <sheetFormatPr defaultColWidth="9" defaultRowHeight="13.8"/>
  <cols>
    <col min="1" max="1" width="3.3984375" style="93" customWidth="1"/>
    <col min="2" max="2" width="5.3984375" style="131" customWidth="1"/>
    <col min="3" max="3" width="23" style="38" customWidth="1"/>
    <col min="4" max="4" width="7.8984375" style="66" bestFit="1" customWidth="1"/>
    <col min="5" max="5" width="6.69921875" style="64" bestFit="1" customWidth="1"/>
    <col min="6" max="6" width="6.5" style="79" bestFit="1" customWidth="1"/>
    <col min="7" max="7" width="8.09765625" style="80" bestFit="1" customWidth="1"/>
    <col min="8" max="8" width="8.8984375" style="37" customWidth="1"/>
    <col min="9" max="9" width="7.09765625" style="63" customWidth="1"/>
    <col min="10" max="11" width="7.09765625" style="64" customWidth="1"/>
    <col min="12" max="12" width="10.69921875" style="64" bestFit="1" customWidth="1"/>
    <col min="13" max="13" width="10.19921875" style="82" customWidth="1"/>
    <col min="14" max="14" width="11" style="37" customWidth="1"/>
    <col min="15" max="15" width="9.59765625" style="37" bestFit="1" customWidth="1"/>
    <col min="16" max="16" width="6.69921875" style="37" customWidth="1"/>
    <col min="17" max="17" width="14.8984375" style="37" bestFit="1" customWidth="1"/>
    <col min="18" max="18" width="10.5" style="37" customWidth="1"/>
    <col min="19" max="19" width="4.09765625" style="37" customWidth="1"/>
    <col min="20" max="20" width="14.5" style="37" bestFit="1" customWidth="1"/>
    <col min="21" max="16384" width="9" style="37"/>
  </cols>
  <sheetData>
    <row r="1" spans="1:15" s="52" customFormat="1" ht="15.6">
      <c r="A1" s="94" t="s">
        <v>0</v>
      </c>
      <c r="B1" s="128"/>
      <c r="C1" s="54"/>
      <c r="D1" s="46"/>
      <c r="E1" s="47"/>
      <c r="F1" s="48"/>
      <c r="G1" s="49"/>
      <c r="I1" s="50"/>
      <c r="J1" s="47"/>
      <c r="K1" s="47"/>
      <c r="L1" s="47"/>
      <c r="M1" s="51" t="str">
        <f>SUMMARY!N1</f>
        <v>PROPOSED BUILDING WORKS</v>
      </c>
      <c r="N1" s="22"/>
    </row>
    <row r="2" spans="1:15" s="52" customFormat="1" ht="15.6">
      <c r="A2" s="94">
        <f>SUMMARY!A2</f>
        <v>0</v>
      </c>
      <c r="B2" s="128"/>
      <c r="C2" s="54"/>
      <c r="D2" s="46"/>
      <c r="E2" s="47"/>
      <c r="F2" s="48"/>
      <c r="G2" s="49"/>
      <c r="I2" s="50"/>
      <c r="J2" s="47"/>
      <c r="K2" s="47"/>
      <c r="L2" s="47"/>
      <c r="M2" s="53" t="str">
        <f>SUMMARY!N2</f>
        <v>261-263 Balwyn Road, Balwyn North</v>
      </c>
      <c r="N2" s="22"/>
    </row>
    <row r="3" spans="1:15" s="52" customFormat="1" ht="15.6">
      <c r="A3" s="49"/>
      <c r="B3" s="128"/>
      <c r="C3" s="54"/>
      <c r="D3" s="46"/>
      <c r="E3" s="47"/>
      <c r="F3" s="48"/>
      <c r="G3" s="49"/>
      <c r="I3" s="50"/>
      <c r="J3" s="47"/>
      <c r="K3" s="47"/>
      <c r="L3" s="47"/>
      <c r="M3" s="51" t="str">
        <f>SUMMARY!N3</f>
        <v>ESTIMATE - V1</v>
      </c>
      <c r="N3" s="22"/>
    </row>
    <row r="4" spans="1:15" s="32" customFormat="1" ht="15" customHeight="1">
      <c r="A4" s="102" t="s">
        <v>98</v>
      </c>
      <c r="B4" s="129" t="s">
        <v>99</v>
      </c>
      <c r="C4" s="55"/>
      <c r="D4" s="56" t="s">
        <v>100</v>
      </c>
      <c r="E4" s="56" t="s">
        <v>101</v>
      </c>
      <c r="F4" s="57" t="s">
        <v>102</v>
      </c>
      <c r="G4" s="58" t="s">
        <v>103</v>
      </c>
      <c r="H4" s="58" t="s">
        <v>104</v>
      </c>
      <c r="I4" s="59" t="s">
        <v>105</v>
      </c>
      <c r="J4" s="60" t="s">
        <v>106</v>
      </c>
      <c r="K4" s="60" t="s">
        <v>107</v>
      </c>
      <c r="L4" s="154" t="s">
        <v>108</v>
      </c>
      <c r="M4" s="154" t="s">
        <v>109</v>
      </c>
      <c r="N4" s="144" t="s">
        <v>108</v>
      </c>
      <c r="O4" s="144" t="s">
        <v>109</v>
      </c>
    </row>
    <row r="5" spans="1:15" s="41" customFormat="1" ht="15" customHeight="1">
      <c r="A5" s="88">
        <v>3</v>
      </c>
      <c r="B5" s="61" t="s">
        <v>240</v>
      </c>
      <c r="C5" s="62"/>
      <c r="D5" s="35"/>
      <c r="E5" s="35"/>
      <c r="F5" s="35"/>
      <c r="G5" s="33"/>
      <c r="H5" s="39"/>
      <c r="I5" s="35"/>
      <c r="J5" s="36"/>
      <c r="K5" s="36"/>
      <c r="L5" s="155"/>
      <c r="M5" s="156"/>
      <c r="N5" s="145"/>
      <c r="O5" s="146"/>
    </row>
    <row r="6" spans="1:15" s="22" customFormat="1" ht="15" customHeight="1">
      <c r="A6" s="91"/>
      <c r="B6" s="23" t="s">
        <v>144</v>
      </c>
      <c r="C6" s="16"/>
      <c r="D6" s="17"/>
      <c r="E6" s="17"/>
      <c r="F6" s="17"/>
      <c r="G6" s="18"/>
      <c r="H6" s="19"/>
      <c r="I6" s="17"/>
      <c r="J6" s="20"/>
      <c r="K6" s="20"/>
      <c r="L6" s="157"/>
      <c r="M6" s="158"/>
      <c r="N6" s="147"/>
      <c r="O6" s="148"/>
    </row>
    <row r="7" spans="1:15" s="22" customFormat="1" ht="15" customHeight="1">
      <c r="A7" s="91"/>
      <c r="B7" s="130"/>
      <c r="C7" s="24"/>
      <c r="D7" s="17"/>
      <c r="E7" s="17"/>
      <c r="F7" s="17"/>
      <c r="G7" s="18"/>
      <c r="H7" s="19"/>
      <c r="I7" s="17"/>
      <c r="J7" s="20"/>
      <c r="K7" s="20"/>
      <c r="L7" s="157"/>
      <c r="M7" s="158"/>
      <c r="N7" s="147"/>
      <c r="O7" s="148"/>
    </row>
    <row r="8" spans="1:15" s="22" customFormat="1" ht="15" customHeight="1">
      <c r="A8" s="88"/>
      <c r="B8" s="131"/>
      <c r="C8" s="942" t="s">
        <v>241</v>
      </c>
      <c r="D8" s="952"/>
      <c r="E8" s="952"/>
      <c r="F8" s="952"/>
      <c r="G8" s="33" t="s">
        <v>12</v>
      </c>
      <c r="H8" s="34"/>
      <c r="I8" s="35"/>
      <c r="J8" s="36"/>
      <c r="K8" s="36"/>
      <c r="L8" s="155"/>
      <c r="M8" s="156" t="s">
        <v>144</v>
      </c>
      <c r="N8" s="145"/>
      <c r="O8" s="146" t="s">
        <v>144</v>
      </c>
    </row>
    <row r="9" spans="1:15" s="22" customFormat="1" ht="15" customHeight="1">
      <c r="A9" s="89"/>
      <c r="B9" s="133"/>
      <c r="C9" s="43" t="s">
        <v>242</v>
      </c>
      <c r="D9" s="795"/>
      <c r="E9" s="136"/>
      <c r="F9" s="137"/>
      <c r="G9" s="44"/>
      <c r="H9" s="40">
        <f>D9</f>
        <v>0</v>
      </c>
      <c r="I9" s="35"/>
      <c r="J9" s="36"/>
      <c r="K9" s="36"/>
      <c r="L9" s="159"/>
      <c r="M9" s="160"/>
      <c r="N9" s="149"/>
      <c r="O9" s="150"/>
    </row>
    <row r="10" spans="1:15" s="22" customFormat="1" ht="15" customHeight="1">
      <c r="A10" s="89"/>
      <c r="B10" s="133"/>
      <c r="C10" s="43" t="s">
        <v>237</v>
      </c>
      <c r="D10" s="73"/>
      <c r="E10" s="73"/>
      <c r="F10" s="41"/>
      <c r="G10" s="44"/>
      <c r="H10" s="40">
        <v>0</v>
      </c>
      <c r="I10" s="35"/>
      <c r="J10" s="36"/>
      <c r="K10" s="36"/>
      <c r="L10" s="159"/>
      <c r="M10" s="160"/>
      <c r="N10" s="149"/>
      <c r="O10" s="150"/>
    </row>
    <row r="11" spans="1:15" s="22" customFormat="1" ht="15" customHeight="1" thickBot="1">
      <c r="A11" s="89"/>
      <c r="B11" s="133"/>
      <c r="C11" s="43"/>
      <c r="D11" s="35"/>
      <c r="E11" s="35"/>
      <c r="F11" s="35"/>
      <c r="G11" s="44"/>
      <c r="H11" s="45">
        <f>SUM(H9:H10)</f>
        <v>0</v>
      </c>
      <c r="I11" s="35"/>
      <c r="J11" s="36"/>
      <c r="K11" s="36"/>
      <c r="L11" s="159"/>
      <c r="M11" s="160"/>
      <c r="N11" s="149"/>
      <c r="O11" s="150"/>
    </row>
    <row r="12" spans="1:15" s="22" customFormat="1" ht="15" customHeight="1" thickTop="1">
      <c r="A12" s="88"/>
      <c r="B12" s="131"/>
      <c r="C12" s="38"/>
      <c r="D12" s="35"/>
      <c r="E12" s="35"/>
      <c r="F12" s="35"/>
      <c r="G12" s="33"/>
      <c r="H12" s="39"/>
      <c r="I12" s="35"/>
      <c r="J12" s="36"/>
      <c r="K12" s="36"/>
      <c r="L12" s="155"/>
      <c r="M12" s="156"/>
      <c r="N12" s="145"/>
      <c r="O12" s="146"/>
    </row>
    <row r="13" spans="1:15" ht="15" customHeight="1">
      <c r="A13" s="88"/>
      <c r="C13" s="942" t="s">
        <v>243</v>
      </c>
      <c r="D13" s="952"/>
      <c r="E13" s="952"/>
      <c r="F13" s="952"/>
      <c r="G13" s="33" t="s">
        <v>10</v>
      </c>
      <c r="H13" s="34">
        <f>ROUNDUP(H19,0)</f>
        <v>0</v>
      </c>
      <c r="I13" s="35">
        <v>1.8</v>
      </c>
      <c r="J13" s="36"/>
      <c r="K13" s="36">
        <f>H13*I13</f>
        <v>0</v>
      </c>
      <c r="L13" s="155">
        <v>75</v>
      </c>
      <c r="M13" s="156">
        <f>K13*L13</f>
        <v>0</v>
      </c>
      <c r="N13" s="145">
        <f>L13*1.5</f>
        <v>112.5</v>
      </c>
      <c r="O13" s="146">
        <f>N13*K13</f>
        <v>0</v>
      </c>
    </row>
    <row r="14" spans="1:15" ht="15" customHeight="1">
      <c r="A14" s="89"/>
      <c r="B14" s="133"/>
      <c r="C14" s="43" t="s">
        <v>244</v>
      </c>
      <c r="D14" s="720"/>
      <c r="E14" s="721"/>
      <c r="F14" s="722"/>
      <c r="G14" s="723">
        <v>1</v>
      </c>
      <c r="H14" s="40">
        <f>D14*E14*F14*G14</f>
        <v>0</v>
      </c>
      <c r="I14" s="35"/>
      <c r="J14" s="36"/>
      <c r="K14" s="36"/>
      <c r="L14" s="159"/>
      <c r="M14" s="160"/>
      <c r="N14" s="149"/>
      <c r="O14" s="150"/>
    </row>
    <row r="15" spans="1:15" s="22" customFormat="1" ht="15" customHeight="1">
      <c r="A15" s="89"/>
      <c r="B15" s="133"/>
      <c r="C15" s="43" t="s">
        <v>245</v>
      </c>
      <c r="D15" s="720"/>
      <c r="E15" s="721"/>
      <c r="F15" s="722"/>
      <c r="G15" s="723">
        <v>1</v>
      </c>
      <c r="H15" s="40">
        <f>D15*E15*F15*G15</f>
        <v>0</v>
      </c>
      <c r="I15" s="35"/>
      <c r="J15" s="36"/>
      <c r="K15" s="36"/>
      <c r="L15" s="159"/>
      <c r="M15" s="160"/>
      <c r="N15" s="149"/>
      <c r="O15" s="150"/>
    </row>
    <row r="16" spans="1:15" s="22" customFormat="1" ht="15" customHeight="1">
      <c r="A16" s="89"/>
      <c r="B16" s="133"/>
      <c r="C16" s="43" t="s">
        <v>246</v>
      </c>
      <c r="D16" s="720"/>
      <c r="E16" s="721"/>
      <c r="F16" s="722"/>
      <c r="G16" s="723">
        <v>1</v>
      </c>
      <c r="H16" s="40">
        <f>D16*E16*F16*G16</f>
        <v>0</v>
      </c>
      <c r="I16" s="35"/>
      <c r="J16" s="36"/>
      <c r="K16" s="36"/>
      <c r="L16" s="159"/>
      <c r="M16" s="160"/>
      <c r="N16" s="149"/>
      <c r="O16" s="150"/>
    </row>
    <row r="17" spans="1:15" s="22" customFormat="1" ht="15" customHeight="1">
      <c r="A17" s="89"/>
      <c r="B17" s="133"/>
      <c r="C17" s="43" t="s">
        <v>247</v>
      </c>
      <c r="D17" s="720"/>
      <c r="E17" s="721"/>
      <c r="F17" s="722"/>
      <c r="G17" s="723">
        <v>1</v>
      </c>
      <c r="H17" s="40">
        <f>D17*E17*F17*G17</f>
        <v>0</v>
      </c>
      <c r="I17" s="35"/>
      <c r="J17" s="36"/>
      <c r="K17" s="36"/>
      <c r="L17" s="159"/>
      <c r="M17" s="160"/>
      <c r="N17" s="149"/>
      <c r="O17" s="150"/>
    </row>
    <row r="18" spans="1:15" s="41" customFormat="1" ht="15" customHeight="1">
      <c r="A18" s="89"/>
      <c r="B18" s="133"/>
      <c r="C18" s="43" t="s">
        <v>248</v>
      </c>
      <c r="D18" s="36"/>
      <c r="E18" s="36"/>
      <c r="F18" s="36"/>
      <c r="G18" s="103">
        <v>1</v>
      </c>
      <c r="H18" s="40">
        <f>D18*E18*F18*G18</f>
        <v>0</v>
      </c>
      <c r="I18" s="35"/>
      <c r="J18" s="36"/>
      <c r="K18" s="36"/>
      <c r="L18" s="159"/>
      <c r="M18" s="160"/>
      <c r="N18" s="149"/>
      <c r="O18" s="150"/>
    </row>
    <row r="19" spans="1:15" s="41" customFormat="1" ht="15" customHeight="1" thickBot="1">
      <c r="A19" s="89"/>
      <c r="B19" s="133"/>
      <c r="C19" s="43"/>
      <c r="D19" s="36"/>
      <c r="E19" s="36"/>
      <c r="F19" s="36"/>
      <c r="G19" s="103"/>
      <c r="H19" s="45">
        <f>SUM(H14:H18)</f>
        <v>0</v>
      </c>
      <c r="I19" s="35"/>
      <c r="J19" s="36"/>
      <c r="K19" s="36"/>
      <c r="L19" s="159"/>
      <c r="M19" s="160"/>
      <c r="N19" s="149"/>
      <c r="O19" s="150"/>
    </row>
    <row r="20" spans="1:15" s="41" customFormat="1" ht="15" customHeight="1" thickTop="1">
      <c r="A20" s="89"/>
      <c r="B20" s="133"/>
      <c r="C20" s="43"/>
      <c r="D20" s="36"/>
      <c r="E20" s="36"/>
      <c r="F20" s="36"/>
      <c r="G20" s="103"/>
      <c r="H20" s="140"/>
      <c r="I20" s="35"/>
      <c r="J20" s="36"/>
      <c r="K20" s="36"/>
      <c r="L20" s="159"/>
      <c r="M20" s="160"/>
      <c r="N20" s="149"/>
      <c r="O20" s="150"/>
    </row>
    <row r="21" spans="1:15" ht="15" customHeight="1">
      <c r="A21" s="88"/>
      <c r="C21" s="942" t="s">
        <v>249</v>
      </c>
      <c r="D21" s="952"/>
      <c r="E21" s="952"/>
      <c r="F21" s="952"/>
      <c r="G21" s="33" t="s">
        <v>12</v>
      </c>
      <c r="H21" s="34">
        <f>H24</f>
        <v>0</v>
      </c>
      <c r="I21" s="35"/>
      <c r="J21" s="36"/>
      <c r="K21" s="165" t="s">
        <v>56</v>
      </c>
      <c r="L21" s="159">
        <f>VLOOKUP(K21,Costings!$A$13:$D$26,4,FALSE)</f>
        <v>7.1999999999999993</v>
      </c>
      <c r="M21" s="156">
        <f>H21*L21</f>
        <v>0</v>
      </c>
      <c r="N21" s="149">
        <f>L21*1.5</f>
        <v>10.799999999999999</v>
      </c>
      <c r="O21" s="146">
        <f>H21*N21</f>
        <v>0</v>
      </c>
    </row>
    <row r="22" spans="1:15" s="41" customFormat="1" ht="15" customHeight="1">
      <c r="A22" s="89"/>
      <c r="B22" s="133"/>
      <c r="C22" s="43"/>
      <c r="D22" s="74">
        <f>H8</f>
        <v>0</v>
      </c>
      <c r="E22" s="73"/>
      <c r="G22" s="44"/>
      <c r="H22" s="40">
        <f>D22</f>
        <v>0</v>
      </c>
      <c r="I22" s="35"/>
      <c r="J22" s="36"/>
      <c r="K22" s="36"/>
      <c r="L22" s="159"/>
      <c r="M22" s="160"/>
      <c r="N22" s="149"/>
      <c r="O22" s="150"/>
    </row>
    <row r="23" spans="1:15" s="41" customFormat="1" ht="15" customHeight="1">
      <c r="A23" s="89"/>
      <c r="B23" s="133"/>
      <c r="C23" s="43" t="s">
        <v>237</v>
      </c>
      <c r="D23" s="73"/>
      <c r="E23" s="73"/>
      <c r="G23" s="44"/>
      <c r="H23" s="40">
        <v>0</v>
      </c>
      <c r="I23" s="35"/>
      <c r="J23" s="36"/>
      <c r="K23" s="36"/>
      <c r="L23" s="159"/>
      <c r="M23" s="160"/>
      <c r="N23" s="149"/>
      <c r="O23" s="150"/>
    </row>
    <row r="24" spans="1:15" ht="15" customHeight="1" thickBot="1">
      <c r="A24" s="89"/>
      <c r="B24" s="133"/>
      <c r="C24" s="43"/>
      <c r="D24" s="35"/>
      <c r="E24" s="35"/>
      <c r="F24" s="35"/>
      <c r="G24" s="44"/>
      <c r="H24" s="45">
        <f>SUM(H22:H23)</f>
        <v>0</v>
      </c>
      <c r="I24" s="35"/>
      <c r="J24" s="36"/>
      <c r="K24" s="36"/>
      <c r="L24" s="159"/>
      <c r="M24" s="160"/>
      <c r="N24" s="149"/>
      <c r="O24" s="150"/>
    </row>
    <row r="25" spans="1:15" s="41" customFormat="1" ht="15" customHeight="1" thickTop="1">
      <c r="A25" s="88"/>
      <c r="B25" s="131"/>
      <c r="C25" s="38"/>
      <c r="D25" s="35"/>
      <c r="E25" s="35"/>
      <c r="F25" s="35"/>
      <c r="G25" s="33"/>
      <c r="H25" s="39"/>
      <c r="I25" s="35"/>
      <c r="J25" s="36"/>
      <c r="K25" s="36"/>
      <c r="L25" s="155"/>
      <c r="M25" s="156"/>
      <c r="N25" s="145"/>
      <c r="O25" s="146"/>
    </row>
    <row r="26" spans="1:15" s="41" customFormat="1" ht="15" customHeight="1">
      <c r="A26" s="88"/>
      <c r="B26" s="131"/>
      <c r="C26" s="942" t="s">
        <v>65</v>
      </c>
      <c r="D26" s="952"/>
      <c r="E26" s="952"/>
      <c r="F26" s="952"/>
      <c r="G26" s="33" t="s">
        <v>11</v>
      </c>
      <c r="H26" s="34"/>
      <c r="I26" s="35"/>
      <c r="J26" s="36"/>
      <c r="K26" s="454"/>
      <c r="L26" s="457"/>
      <c r="M26" s="457"/>
      <c r="N26" s="458"/>
      <c r="O26" s="458"/>
    </row>
    <row r="27" spans="1:15" s="41" customFormat="1" ht="15" customHeight="1">
      <c r="A27" s="89"/>
      <c r="B27" s="133"/>
      <c r="C27" s="43" t="str">
        <f t="shared" ref="C27:D31" si="0">C14</f>
        <v>EB2/EB3/IB1</v>
      </c>
      <c r="D27" s="837">
        <f t="shared" si="0"/>
        <v>0</v>
      </c>
      <c r="E27" s="73"/>
      <c r="G27" s="44">
        <v>1</v>
      </c>
      <c r="H27" s="40">
        <f>D27*G27</f>
        <v>0</v>
      </c>
      <c r="I27" s="35"/>
      <c r="J27" s="36"/>
      <c r="K27" s="165" t="s">
        <v>77</v>
      </c>
      <c r="L27" s="159">
        <f>VLOOKUP(K27,Costings!$A$29:$D$40,4,FALSE)</f>
        <v>5.1920000000000002</v>
      </c>
      <c r="M27" s="156">
        <f>H27*L27</f>
        <v>0</v>
      </c>
      <c r="N27" s="149">
        <f>L27*1.5</f>
        <v>7.7880000000000003</v>
      </c>
      <c r="O27" s="146">
        <f>N27*H27</f>
        <v>0</v>
      </c>
    </row>
    <row r="28" spans="1:15" s="41" customFormat="1" ht="15" customHeight="1">
      <c r="A28" s="89"/>
      <c r="B28" s="133"/>
      <c r="C28" s="43" t="str">
        <f t="shared" si="0"/>
        <v>EB1</v>
      </c>
      <c r="D28" s="837">
        <f t="shared" si="0"/>
        <v>0</v>
      </c>
      <c r="E28" s="73"/>
      <c r="G28" s="44">
        <v>1</v>
      </c>
      <c r="H28" s="40">
        <f>D28*G28</f>
        <v>0</v>
      </c>
      <c r="I28" s="35"/>
      <c r="J28" s="36"/>
      <c r="K28" s="165" t="s">
        <v>80</v>
      </c>
      <c r="L28" s="159">
        <f>VLOOKUP(K28,Costings!$A$29:$D$40,4,FALSE)</f>
        <v>10.442</v>
      </c>
      <c r="M28" s="156">
        <f>H28*L28</f>
        <v>0</v>
      </c>
      <c r="N28" s="149">
        <f>L28*1.5</f>
        <v>15.663</v>
      </c>
      <c r="O28" s="146">
        <f>N28*H28</f>
        <v>0</v>
      </c>
    </row>
    <row r="29" spans="1:15" s="41" customFormat="1" ht="15" customHeight="1">
      <c r="A29" s="89"/>
      <c r="B29" s="133"/>
      <c r="C29" s="43" t="str">
        <f t="shared" si="0"/>
        <v>EB4/IB3</v>
      </c>
      <c r="D29" s="837">
        <f t="shared" si="0"/>
        <v>0</v>
      </c>
      <c r="E29" s="73">
        <v>5</v>
      </c>
      <c r="G29" s="44">
        <v>2</v>
      </c>
      <c r="H29" s="40">
        <f>D29*G29*E29</f>
        <v>0</v>
      </c>
      <c r="I29" s="165" t="s">
        <v>42</v>
      </c>
      <c r="J29" s="36">
        <f>VLOOKUP(I29,Costings!$A$2:$B$10,2,FALSE)</f>
        <v>3.64</v>
      </c>
      <c r="K29" s="36">
        <f>H29*J29/1000</f>
        <v>0</v>
      </c>
      <c r="L29" s="159">
        <v>1500</v>
      </c>
      <c r="M29" s="159">
        <f>K29*L29</f>
        <v>0</v>
      </c>
      <c r="N29" s="149">
        <f>L29*1.5</f>
        <v>2250</v>
      </c>
      <c r="O29" s="149">
        <f>K29*N29</f>
        <v>0</v>
      </c>
    </row>
    <row r="30" spans="1:15" s="41" customFormat="1" ht="15" customHeight="1">
      <c r="A30" s="89"/>
      <c r="B30" s="133"/>
      <c r="C30" s="43" t="str">
        <f t="shared" si="0"/>
        <v>IB2</v>
      </c>
      <c r="D30" s="837">
        <f t="shared" si="0"/>
        <v>0</v>
      </c>
      <c r="E30" s="73"/>
      <c r="G30" s="44">
        <v>1</v>
      </c>
      <c r="H30" s="40">
        <f>D30*G30</f>
        <v>0</v>
      </c>
      <c r="I30" s="35"/>
      <c r="J30" s="36"/>
      <c r="K30" s="165" t="s">
        <v>79</v>
      </c>
      <c r="L30" s="159">
        <f>VLOOKUP(K30,Costings!$A$29:$D$40,4,FALSE)</f>
        <v>8.6419999999999995</v>
      </c>
      <c r="M30" s="156">
        <f>H30*L30</f>
        <v>0</v>
      </c>
      <c r="N30" s="149">
        <f>L30*1.5</f>
        <v>12.962999999999999</v>
      </c>
      <c r="O30" s="146">
        <f>N30*H30</f>
        <v>0</v>
      </c>
    </row>
    <row r="31" spans="1:15" s="41" customFormat="1" ht="15" customHeight="1">
      <c r="A31" s="89"/>
      <c r="B31" s="133"/>
      <c r="C31" s="43" t="str">
        <f t="shared" si="0"/>
        <v>IB4</v>
      </c>
      <c r="D31" s="837">
        <f t="shared" si="0"/>
        <v>0</v>
      </c>
      <c r="E31" s="73">
        <v>3</v>
      </c>
      <c r="G31" s="44">
        <v>2</v>
      </c>
      <c r="H31" s="40">
        <f>D31*G31*E31</f>
        <v>0</v>
      </c>
      <c r="I31" s="165" t="s">
        <v>42</v>
      </c>
      <c r="J31" s="36">
        <f>VLOOKUP(I31,Costings!$A$2:$B$10,2,FALSE)</f>
        <v>3.64</v>
      </c>
      <c r="K31" s="36">
        <f>H31*J31/1000</f>
        <v>0</v>
      </c>
      <c r="L31" s="159">
        <v>1500</v>
      </c>
      <c r="M31" s="159">
        <f>K31*L31</f>
        <v>0</v>
      </c>
      <c r="N31" s="149">
        <f>L31*1.5</f>
        <v>2250</v>
      </c>
      <c r="O31" s="149">
        <f>K31*N31</f>
        <v>0</v>
      </c>
    </row>
    <row r="32" spans="1:15" s="41" customFormat="1" ht="15" customHeight="1" thickBot="1">
      <c r="A32" s="89"/>
      <c r="B32" s="133"/>
      <c r="C32" s="43"/>
      <c r="D32" s="35"/>
      <c r="E32" s="35"/>
      <c r="F32" s="35"/>
      <c r="G32" s="44"/>
      <c r="H32" s="45"/>
      <c r="I32" s="35"/>
      <c r="J32" s="36"/>
      <c r="K32" s="36"/>
      <c r="L32" s="159"/>
      <c r="M32" s="160"/>
      <c r="N32" s="149"/>
      <c r="O32" s="150"/>
    </row>
    <row r="33" spans="1:15" s="41" customFormat="1" ht="15" customHeight="1" thickTop="1">
      <c r="A33" s="89"/>
      <c r="B33" s="133"/>
      <c r="C33" s="43"/>
      <c r="D33" s="35"/>
      <c r="E33" s="35"/>
      <c r="F33" s="35"/>
      <c r="G33" s="44"/>
      <c r="H33" s="140"/>
      <c r="I33" s="35"/>
      <c r="J33" s="36"/>
      <c r="K33" s="36"/>
      <c r="L33" s="159"/>
      <c r="M33" s="160"/>
      <c r="N33" s="149"/>
      <c r="O33" s="150"/>
    </row>
    <row r="34" spans="1:15" s="41" customFormat="1" ht="15" customHeight="1" thickBot="1">
      <c r="A34" s="88"/>
      <c r="B34" s="131"/>
      <c r="C34" s="38"/>
      <c r="D34" s="35"/>
      <c r="E34" s="35"/>
      <c r="F34" s="35"/>
      <c r="G34" s="33"/>
      <c r="H34" s="39"/>
      <c r="I34" s="35"/>
      <c r="J34" s="36"/>
      <c r="K34" s="36"/>
      <c r="L34" s="155"/>
      <c r="M34" s="156"/>
      <c r="N34" s="145"/>
      <c r="O34" s="146"/>
    </row>
    <row r="35" spans="1:15" s="41" customFormat="1" ht="15" customHeight="1">
      <c r="A35" s="88"/>
      <c r="B35" s="131"/>
      <c r="C35" s="942" t="s">
        <v>250</v>
      </c>
      <c r="D35" s="952"/>
      <c r="E35" s="952"/>
      <c r="F35" s="952"/>
      <c r="G35" s="33" t="s">
        <v>189</v>
      </c>
      <c r="H35" s="34">
        <f>H39</f>
        <v>0</v>
      </c>
      <c r="I35" s="734" t="s">
        <v>42</v>
      </c>
      <c r="J35" s="36">
        <f>VLOOKUP(I35,Costings!$A$2:$B$10,2,FALSE)</f>
        <v>3.64</v>
      </c>
      <c r="K35" s="36">
        <f>H35*J35/1000</f>
        <v>0</v>
      </c>
      <c r="L35" s="155">
        <v>1350</v>
      </c>
      <c r="M35" s="156">
        <f>K35*L35</f>
        <v>0</v>
      </c>
      <c r="N35" s="145">
        <f>L35*1.5</f>
        <v>2025</v>
      </c>
      <c r="O35" s="146">
        <f>K35*N35</f>
        <v>0</v>
      </c>
    </row>
    <row r="36" spans="1:15" s="41" customFormat="1" ht="15" customHeight="1">
      <c r="A36" s="88"/>
      <c r="B36" s="131"/>
      <c r="C36" s="43"/>
      <c r="D36" s="139">
        <v>0</v>
      </c>
      <c r="E36" s="52"/>
      <c r="F36" s="52">
        <v>2</v>
      </c>
      <c r="H36" s="510">
        <f>D36*F36</f>
        <v>0</v>
      </c>
      <c r="I36" s="35"/>
      <c r="J36" s="36"/>
      <c r="K36" s="36"/>
      <c r="L36" s="155"/>
      <c r="M36" s="156"/>
      <c r="N36" s="145"/>
      <c r="O36" s="146"/>
    </row>
    <row r="37" spans="1:15" s="41" customFormat="1" ht="15" customHeight="1">
      <c r="A37" s="89"/>
      <c r="B37" s="133"/>
      <c r="C37" s="43"/>
      <c r="D37" s="35">
        <v>0</v>
      </c>
      <c r="E37" s="73"/>
      <c r="F37" s="141">
        <v>3</v>
      </c>
      <c r="H37" s="510">
        <f>D37*F37</f>
        <v>0</v>
      </c>
      <c r="I37" s="35"/>
      <c r="J37" s="36"/>
      <c r="K37" s="36"/>
      <c r="L37" s="159"/>
      <c r="M37" s="160"/>
      <c r="N37" s="149"/>
      <c r="O37" s="150"/>
    </row>
    <row r="38" spans="1:15" s="41" customFormat="1" ht="15" customHeight="1">
      <c r="A38" s="89"/>
      <c r="B38" s="133"/>
      <c r="C38" s="43" t="s">
        <v>237</v>
      </c>
      <c r="D38" s="35">
        <v>500</v>
      </c>
      <c r="E38" s="73"/>
      <c r="F38" s="42"/>
      <c r="G38" s="44"/>
      <c r="H38" s="40">
        <v>0</v>
      </c>
      <c r="I38" s="35"/>
      <c r="J38" s="36"/>
      <c r="K38" s="36"/>
      <c r="L38" s="159"/>
      <c r="M38" s="160"/>
      <c r="N38" s="149"/>
      <c r="O38" s="150"/>
    </row>
    <row r="39" spans="1:15" s="41" customFormat="1" ht="15" customHeight="1" thickBot="1">
      <c r="A39" s="89"/>
      <c r="B39" s="133"/>
      <c r="C39" s="43"/>
      <c r="D39" s="35"/>
      <c r="E39" s="35"/>
      <c r="F39" s="42"/>
      <c r="G39" s="44"/>
      <c r="H39" s="45">
        <f>SUM(H36:H38)</f>
        <v>0</v>
      </c>
      <c r="I39" s="35"/>
      <c r="J39" s="36"/>
      <c r="K39" s="36"/>
      <c r="L39" s="159"/>
      <c r="M39" s="160"/>
      <c r="N39" s="149"/>
      <c r="O39" s="150"/>
    </row>
    <row r="40" spans="1:15" s="41" customFormat="1" ht="15" customHeight="1" thickTop="1">
      <c r="A40" s="88"/>
      <c r="B40" s="131"/>
      <c r="C40" s="38"/>
      <c r="D40" s="35"/>
      <c r="E40" s="35"/>
      <c r="F40" s="35"/>
      <c r="G40" s="33"/>
      <c r="H40" s="39"/>
      <c r="I40" s="35"/>
      <c r="J40" s="36"/>
      <c r="K40" s="36"/>
      <c r="L40" s="155"/>
      <c r="M40" s="156"/>
      <c r="N40" s="145"/>
      <c r="O40" s="146"/>
    </row>
    <row r="41" spans="1:15" s="41" customFormat="1" ht="15" customHeight="1">
      <c r="A41" s="88"/>
      <c r="B41" s="131"/>
      <c r="C41" s="38"/>
      <c r="D41" s="35"/>
      <c r="E41" s="35"/>
      <c r="F41" s="35"/>
      <c r="G41" s="33"/>
      <c r="H41" s="39"/>
      <c r="I41" s="35"/>
      <c r="J41" s="36"/>
      <c r="K41" s="36"/>
      <c r="L41" s="155"/>
      <c r="M41" s="156"/>
      <c r="N41" s="145"/>
      <c r="O41" s="146"/>
    </row>
    <row r="42" spans="1:15" s="41" customFormat="1" ht="15" customHeight="1">
      <c r="A42" s="88"/>
      <c r="B42" s="131"/>
      <c r="C42" s="942" t="s">
        <v>251</v>
      </c>
      <c r="D42" s="952"/>
      <c r="E42" s="952"/>
      <c r="F42" s="952"/>
      <c r="G42" s="33" t="s">
        <v>12</v>
      </c>
      <c r="H42" s="34">
        <f>H45</f>
        <v>0</v>
      </c>
      <c r="I42" s="35"/>
      <c r="J42" s="36"/>
      <c r="K42" s="36"/>
      <c r="L42" s="155">
        <v>5</v>
      </c>
      <c r="M42" s="156">
        <f>H42*L42</f>
        <v>0</v>
      </c>
      <c r="N42" s="145">
        <f>L42*1.5</f>
        <v>7.5</v>
      </c>
      <c r="O42" s="146">
        <f>H42*N42</f>
        <v>0</v>
      </c>
    </row>
    <row r="43" spans="1:15" s="41" customFormat="1" ht="15" customHeight="1">
      <c r="A43" s="89"/>
      <c r="B43" s="133"/>
      <c r="C43" s="43"/>
      <c r="D43" s="74">
        <f>H8</f>
        <v>0</v>
      </c>
      <c r="E43" s="73"/>
      <c r="G43" s="44"/>
      <c r="H43" s="40">
        <f>D43</f>
        <v>0</v>
      </c>
      <c r="I43" s="35"/>
      <c r="J43" s="36"/>
      <c r="K43" s="36"/>
      <c r="L43" s="159"/>
      <c r="M43" s="160"/>
      <c r="N43" s="149"/>
      <c r="O43" s="150"/>
    </row>
    <row r="44" spans="1:15" s="41" customFormat="1" ht="15" customHeight="1">
      <c r="A44" s="89"/>
      <c r="B44" s="133"/>
      <c r="C44" s="43" t="s">
        <v>237</v>
      </c>
      <c r="D44" s="73"/>
      <c r="E44" s="73"/>
      <c r="G44" s="44"/>
      <c r="H44" s="40">
        <v>0</v>
      </c>
      <c r="I44" s="35"/>
      <c r="J44" s="36"/>
      <c r="K44" s="36"/>
      <c r="L44" s="159"/>
      <c r="M44" s="160"/>
      <c r="N44" s="149"/>
      <c r="O44" s="150"/>
    </row>
    <row r="45" spans="1:15" s="41" customFormat="1" ht="15" customHeight="1" thickBot="1">
      <c r="A45" s="89"/>
      <c r="B45" s="133"/>
      <c r="C45" s="43"/>
      <c r="D45" s="35"/>
      <c r="E45" s="35"/>
      <c r="F45" s="35"/>
      <c r="G45" s="44"/>
      <c r="H45" s="45">
        <f>SUM(H43:H44)</f>
        <v>0</v>
      </c>
      <c r="I45" s="35"/>
      <c r="J45" s="36"/>
      <c r="K45" s="36"/>
      <c r="L45" s="159"/>
      <c r="M45" s="160"/>
      <c r="N45" s="149"/>
      <c r="O45" s="150"/>
    </row>
    <row r="46" spans="1:15" s="41" customFormat="1" ht="15" customHeight="1" thickTop="1">
      <c r="A46" s="88"/>
      <c r="B46" s="131"/>
      <c r="C46" s="38"/>
      <c r="D46" s="35"/>
      <c r="E46" s="35"/>
      <c r="F46" s="35"/>
      <c r="G46" s="33"/>
      <c r="H46" s="39"/>
      <c r="I46" s="35"/>
      <c r="J46" s="36"/>
      <c r="K46" s="36"/>
      <c r="L46" s="155"/>
      <c r="M46" s="156"/>
      <c r="N46" s="145"/>
      <c r="O46" s="146"/>
    </row>
    <row r="47" spans="1:15" s="41" customFormat="1" ht="15" customHeight="1">
      <c r="A47" s="88"/>
      <c r="B47" s="131"/>
      <c r="C47" s="942" t="s">
        <v>252</v>
      </c>
      <c r="D47" s="952"/>
      <c r="E47" s="952"/>
      <c r="F47" s="952"/>
      <c r="G47" s="33" t="s">
        <v>12</v>
      </c>
      <c r="H47" s="34">
        <f>H50</f>
        <v>0</v>
      </c>
      <c r="I47" s="35"/>
      <c r="J47" s="36"/>
      <c r="K47" s="36"/>
      <c r="L47" s="155">
        <v>4</v>
      </c>
      <c r="M47" s="156">
        <f>H47*L47</f>
        <v>0</v>
      </c>
      <c r="N47" s="145">
        <f>L47*1.5</f>
        <v>6</v>
      </c>
      <c r="O47" s="146">
        <f>N47*H47</f>
        <v>0</v>
      </c>
    </row>
    <row r="48" spans="1:15" s="41" customFormat="1" ht="15" customHeight="1">
      <c r="A48" s="89"/>
      <c r="B48" s="133"/>
      <c r="C48" s="43"/>
      <c r="D48" s="74">
        <f>H8</f>
        <v>0</v>
      </c>
      <c r="E48" s="73"/>
      <c r="G48" s="44"/>
      <c r="H48" s="40">
        <f>D48</f>
        <v>0</v>
      </c>
      <c r="I48" s="35"/>
      <c r="J48" s="36"/>
      <c r="K48" s="36"/>
      <c r="L48" s="159"/>
      <c r="M48" s="160"/>
      <c r="N48" s="149"/>
      <c r="O48" s="150"/>
    </row>
    <row r="49" spans="1:15" s="41" customFormat="1" ht="15" customHeight="1">
      <c r="A49" s="89"/>
      <c r="B49" s="133"/>
      <c r="C49" s="43" t="s">
        <v>237</v>
      </c>
      <c r="D49" s="73"/>
      <c r="E49" s="73"/>
      <c r="G49" s="44"/>
      <c r="H49" s="40">
        <v>0</v>
      </c>
      <c r="I49" s="35"/>
      <c r="J49" s="36"/>
      <c r="K49" s="36"/>
      <c r="L49" s="159"/>
      <c r="M49" s="160"/>
      <c r="N49" s="149"/>
      <c r="O49" s="150"/>
    </row>
    <row r="50" spans="1:15" s="41" customFormat="1" ht="15" customHeight="1" thickBot="1">
      <c r="A50" s="89"/>
      <c r="B50" s="133"/>
      <c r="C50" s="43"/>
      <c r="D50" s="35"/>
      <c r="E50" s="35"/>
      <c r="F50" s="35"/>
      <c r="G50" s="44"/>
      <c r="H50" s="45">
        <f>SUM(H48:H49)</f>
        <v>0</v>
      </c>
      <c r="I50" s="35"/>
      <c r="J50" s="36"/>
      <c r="K50" s="36"/>
      <c r="L50" s="159"/>
      <c r="M50" s="160"/>
      <c r="N50" s="149"/>
      <c r="O50" s="150"/>
    </row>
    <row r="51" spans="1:15" s="41" customFormat="1" ht="15" customHeight="1" thickTop="1">
      <c r="A51" s="88"/>
      <c r="B51" s="131"/>
      <c r="C51" s="38"/>
      <c r="D51" s="35"/>
      <c r="E51" s="35"/>
      <c r="F51" s="35"/>
      <c r="G51" s="33"/>
      <c r="H51" s="39"/>
      <c r="I51" s="35"/>
      <c r="J51" s="36"/>
      <c r="K51" s="36"/>
      <c r="L51" s="155"/>
      <c r="M51" s="156"/>
      <c r="N51" s="145"/>
      <c r="O51" s="146"/>
    </row>
    <row r="52" spans="1:15" s="41" customFormat="1" ht="15" customHeight="1" thickBot="1">
      <c r="A52" s="89"/>
      <c r="B52" s="133"/>
      <c r="C52" s="43"/>
      <c r="D52" s="35"/>
      <c r="E52" s="35"/>
      <c r="F52" s="35"/>
      <c r="G52" s="44"/>
      <c r="H52" s="45">
        <v>163.9</v>
      </c>
      <c r="I52" s="35"/>
      <c r="J52" s="36"/>
      <c r="K52" s="36"/>
      <c r="L52" s="159"/>
      <c r="M52" s="160"/>
      <c r="N52" s="149"/>
      <c r="O52" s="150"/>
    </row>
    <row r="53" spans="1:15" s="41" customFormat="1" ht="15" customHeight="1" thickTop="1">
      <c r="A53" s="88"/>
      <c r="B53" s="131"/>
      <c r="C53" s="38"/>
      <c r="D53" s="35"/>
      <c r="E53" s="35"/>
      <c r="F53" s="35"/>
      <c r="G53" s="33"/>
      <c r="H53" s="39"/>
      <c r="I53" s="35"/>
      <c r="J53" s="36"/>
      <c r="K53" s="36"/>
      <c r="L53" s="155"/>
      <c r="M53" s="156"/>
      <c r="N53" s="145"/>
      <c r="O53" s="146"/>
    </row>
    <row r="54" spans="1:15" s="41" customFormat="1" ht="15" customHeight="1">
      <c r="A54" s="88"/>
      <c r="B54" s="131"/>
      <c r="C54" s="942" t="s">
        <v>253</v>
      </c>
      <c r="D54" s="952"/>
      <c r="E54" s="952"/>
      <c r="F54" s="952"/>
      <c r="G54" s="33" t="s">
        <v>12</v>
      </c>
      <c r="H54" s="34">
        <f>H57</f>
        <v>0</v>
      </c>
      <c r="I54" s="35"/>
      <c r="J54" s="36"/>
      <c r="K54" s="36"/>
      <c r="L54" s="155"/>
      <c r="M54" s="156">
        <f>H54*L54</f>
        <v>0</v>
      </c>
      <c r="N54" s="145">
        <f>L54*1.5</f>
        <v>0</v>
      </c>
      <c r="O54" s="146">
        <f>N54*H54</f>
        <v>0</v>
      </c>
    </row>
    <row r="55" spans="1:15" s="41" customFormat="1" ht="15" customHeight="1">
      <c r="A55" s="89"/>
      <c r="B55" s="133"/>
      <c r="C55" s="43"/>
      <c r="D55" s="74">
        <f>H8</f>
        <v>0</v>
      </c>
      <c r="E55" s="73"/>
      <c r="F55" s="36"/>
      <c r="G55" s="44"/>
      <c r="H55" s="40">
        <f>D55</f>
        <v>0</v>
      </c>
      <c r="I55" s="35"/>
      <c r="J55" s="36"/>
      <c r="K55" s="36"/>
      <c r="L55" s="159"/>
      <c r="M55" s="160"/>
      <c r="N55" s="149"/>
      <c r="O55" s="150"/>
    </row>
    <row r="56" spans="1:15" s="41" customFormat="1" ht="15" customHeight="1">
      <c r="A56" s="89"/>
      <c r="B56" s="133"/>
      <c r="C56" s="43" t="s">
        <v>237</v>
      </c>
      <c r="D56" s="73"/>
      <c r="E56" s="73"/>
      <c r="G56" s="44"/>
      <c r="H56" s="40">
        <v>0</v>
      </c>
      <c r="I56" s="35"/>
      <c r="J56" s="36"/>
      <c r="K56" s="36"/>
      <c r="L56" s="159"/>
      <c r="M56" s="160"/>
      <c r="N56" s="149"/>
      <c r="O56" s="150"/>
    </row>
    <row r="57" spans="1:15" s="41" customFormat="1" ht="15" customHeight="1" thickBot="1">
      <c r="A57" s="89"/>
      <c r="B57" s="133"/>
      <c r="C57" s="43"/>
      <c r="D57" s="35"/>
      <c r="E57" s="35"/>
      <c r="F57" s="35"/>
      <c r="G57" s="44"/>
      <c r="H57" s="45">
        <f>SUM(H55:H56)</f>
        <v>0</v>
      </c>
      <c r="I57" s="35"/>
      <c r="J57" s="36"/>
      <c r="K57" s="36"/>
      <c r="L57" s="159"/>
      <c r="M57" s="160"/>
      <c r="N57" s="149"/>
      <c r="O57" s="150"/>
    </row>
    <row r="58" spans="1:15" ht="15" customHeight="1" thickTop="1">
      <c r="A58" s="88"/>
      <c r="D58" s="35"/>
      <c r="E58" s="35"/>
      <c r="F58" s="35"/>
      <c r="G58" s="33"/>
      <c r="H58" s="39"/>
      <c r="I58" s="35"/>
      <c r="J58" s="36"/>
      <c r="K58" s="36"/>
      <c r="L58" s="155"/>
      <c r="M58" s="156"/>
      <c r="N58" s="145"/>
      <c r="O58" s="146"/>
    </row>
    <row r="59" spans="1:15" ht="15" customHeight="1">
      <c r="A59" s="88"/>
      <c r="C59" s="942" t="s">
        <v>254</v>
      </c>
      <c r="D59" s="952"/>
      <c r="E59" s="952"/>
      <c r="F59" s="952"/>
      <c r="G59" s="33" t="s">
        <v>12</v>
      </c>
      <c r="H59" s="34">
        <f>H62</f>
        <v>0</v>
      </c>
      <c r="I59" s="35"/>
      <c r="J59" s="36"/>
      <c r="K59" s="36"/>
      <c r="L59" s="155">
        <v>0</v>
      </c>
      <c r="M59" s="156">
        <f>H59*L59</f>
        <v>0</v>
      </c>
      <c r="N59" s="145">
        <v>0</v>
      </c>
      <c r="O59" s="146">
        <f>J59*N59</f>
        <v>0</v>
      </c>
    </row>
    <row r="60" spans="1:15" s="41" customFormat="1" ht="15" customHeight="1">
      <c r="A60" s="89"/>
      <c r="B60" s="133"/>
      <c r="C60" s="43"/>
      <c r="D60" s="74">
        <v>0</v>
      </c>
      <c r="E60" s="73"/>
      <c r="F60" s="36"/>
      <c r="G60" s="44"/>
      <c r="H60" s="40">
        <f>D60</f>
        <v>0</v>
      </c>
      <c r="I60" s="35"/>
      <c r="J60" s="36"/>
      <c r="K60" s="36"/>
      <c r="L60" s="159"/>
      <c r="M60" s="160"/>
      <c r="N60" s="149"/>
      <c r="O60" s="150"/>
    </row>
    <row r="61" spans="1:15" s="41" customFormat="1" ht="15" customHeight="1">
      <c r="A61" s="89"/>
      <c r="B61" s="133"/>
      <c r="C61" s="43" t="s">
        <v>237</v>
      </c>
      <c r="D61" s="73"/>
      <c r="E61" s="73"/>
      <c r="G61" s="44"/>
      <c r="H61" s="40">
        <v>0</v>
      </c>
      <c r="I61" s="35"/>
      <c r="J61" s="36"/>
      <c r="K61" s="36"/>
      <c r="L61" s="159"/>
      <c r="M61" s="160"/>
      <c r="N61" s="149"/>
      <c r="O61" s="150"/>
    </row>
    <row r="62" spans="1:15" s="41" customFormat="1" ht="15" customHeight="1" thickBot="1">
      <c r="A62" s="89"/>
      <c r="B62" s="133"/>
      <c r="C62" s="43"/>
      <c r="D62" s="35"/>
      <c r="E62" s="35"/>
      <c r="F62" s="35"/>
      <c r="G62" s="44"/>
      <c r="H62" s="45">
        <f>SUM(H60:H61)</f>
        <v>0</v>
      </c>
      <c r="I62" s="35"/>
      <c r="J62" s="36"/>
      <c r="K62" s="36"/>
      <c r="L62" s="159"/>
      <c r="M62" s="160"/>
      <c r="N62" s="149"/>
      <c r="O62" s="150"/>
    </row>
    <row r="63" spans="1:15" ht="15" customHeight="1" thickTop="1">
      <c r="A63" s="89"/>
      <c r="B63" s="133"/>
      <c r="C63" s="43"/>
      <c r="D63" s="35"/>
      <c r="E63" s="35"/>
      <c r="F63" s="35"/>
      <c r="G63" s="44"/>
      <c r="H63" s="140"/>
      <c r="I63" s="35"/>
      <c r="J63" s="36"/>
      <c r="K63" s="36"/>
      <c r="L63" s="159"/>
      <c r="M63" s="160"/>
      <c r="N63" s="149"/>
      <c r="O63" s="150"/>
    </row>
    <row r="64" spans="1:15" ht="15" customHeight="1">
      <c r="A64" s="88"/>
      <c r="C64" s="942" t="s">
        <v>255</v>
      </c>
      <c r="D64" s="952"/>
      <c r="E64" s="952"/>
      <c r="F64" s="952"/>
      <c r="G64" s="33" t="s">
        <v>12</v>
      </c>
      <c r="H64" s="34">
        <f>H67</f>
        <v>0</v>
      </c>
      <c r="I64" s="35"/>
      <c r="J64" s="36"/>
      <c r="K64" s="36"/>
      <c r="L64" s="155">
        <v>5</v>
      </c>
      <c r="M64" s="156">
        <f>H64*L64</f>
        <v>0</v>
      </c>
      <c r="N64" s="145">
        <f>L64*1.5</f>
        <v>7.5</v>
      </c>
      <c r="O64" s="146">
        <f>N64*H64</f>
        <v>0</v>
      </c>
    </row>
    <row r="65" spans="1:15" s="41" customFormat="1" ht="15" customHeight="1">
      <c r="A65" s="89"/>
      <c r="B65" s="133"/>
      <c r="C65" s="142">
        <v>100</v>
      </c>
      <c r="D65" s="74"/>
      <c r="E65" s="73"/>
      <c r="F65" s="36"/>
      <c r="G65" s="44"/>
      <c r="H65" s="40">
        <f>D65</f>
        <v>0</v>
      </c>
      <c r="I65" s="35"/>
      <c r="J65" s="36"/>
      <c r="K65" s="36"/>
      <c r="L65" s="159"/>
      <c r="M65" s="160"/>
      <c r="N65" s="149"/>
      <c r="O65" s="150"/>
    </row>
    <row r="66" spans="1:15" s="41" customFormat="1" ht="15" customHeight="1">
      <c r="A66" s="89"/>
      <c r="B66" s="133"/>
      <c r="C66" s="43" t="s">
        <v>237</v>
      </c>
      <c r="D66" s="73"/>
      <c r="E66" s="73"/>
      <c r="G66" s="44"/>
      <c r="H66" s="40">
        <v>0</v>
      </c>
      <c r="I66" s="35"/>
      <c r="J66" s="36"/>
      <c r="K66" s="36"/>
      <c r="L66" s="159"/>
      <c r="M66" s="160"/>
      <c r="N66" s="149"/>
      <c r="O66" s="150"/>
    </row>
    <row r="67" spans="1:15" s="41" customFormat="1" ht="15" customHeight="1" thickBot="1">
      <c r="A67" s="89"/>
      <c r="B67" s="133"/>
      <c r="C67" s="43"/>
      <c r="D67" s="35"/>
      <c r="E67" s="35"/>
      <c r="F67" s="35"/>
      <c r="G67" s="44"/>
      <c r="H67" s="45">
        <f>SUM(H65:H66)</f>
        <v>0</v>
      </c>
      <c r="I67" s="35"/>
      <c r="J67" s="36"/>
      <c r="K67" s="36"/>
      <c r="L67" s="159"/>
      <c r="M67" s="160"/>
      <c r="N67" s="149"/>
      <c r="O67" s="150"/>
    </row>
    <row r="68" spans="1:15" s="41" customFormat="1" ht="15" customHeight="1" thickTop="1">
      <c r="A68" s="88"/>
      <c r="B68" s="131"/>
      <c r="C68" s="38"/>
      <c r="D68" s="35"/>
      <c r="E68" s="35"/>
      <c r="F68" s="35"/>
      <c r="G68" s="33"/>
      <c r="H68" s="39"/>
      <c r="I68" s="35"/>
      <c r="J68" s="36"/>
      <c r="K68" s="36"/>
      <c r="L68" s="155"/>
      <c r="M68" s="156"/>
      <c r="N68" s="145"/>
      <c r="O68" s="146"/>
    </row>
    <row r="69" spans="1:15" s="41" customFormat="1" ht="15" customHeight="1">
      <c r="A69" s="88"/>
      <c r="B69" s="131"/>
      <c r="C69" s="942" t="s">
        <v>256</v>
      </c>
      <c r="D69" s="952"/>
      <c r="E69" s="952"/>
      <c r="F69" s="952"/>
      <c r="G69" s="33" t="s">
        <v>11</v>
      </c>
      <c r="H69" s="34">
        <f>H72</f>
        <v>0</v>
      </c>
      <c r="I69" s="35"/>
      <c r="J69" s="36"/>
      <c r="K69" s="36"/>
      <c r="L69" s="155">
        <v>50</v>
      </c>
      <c r="M69" s="156">
        <f>H69*L69</f>
        <v>0</v>
      </c>
      <c r="N69" s="145">
        <f>L69*1.5</f>
        <v>75</v>
      </c>
      <c r="O69" s="146">
        <f>H69*N69</f>
        <v>0</v>
      </c>
    </row>
    <row r="70" spans="1:15" s="41" customFormat="1" ht="15" customHeight="1">
      <c r="A70" s="89"/>
      <c r="B70" s="133"/>
      <c r="C70" s="43"/>
      <c r="D70" s="795"/>
      <c r="E70" s="73"/>
      <c r="F70" s="42"/>
      <c r="G70" s="44"/>
      <c r="H70" s="40">
        <f>D70</f>
        <v>0</v>
      </c>
      <c r="I70" s="35"/>
      <c r="J70" s="36"/>
      <c r="K70" s="36"/>
      <c r="L70" s="159"/>
      <c r="M70" s="160"/>
      <c r="N70" s="149"/>
      <c r="O70" s="150"/>
    </row>
    <row r="71" spans="1:15" s="41" customFormat="1" ht="15" customHeight="1">
      <c r="A71" s="89"/>
      <c r="B71" s="133"/>
      <c r="C71" s="43" t="s">
        <v>237</v>
      </c>
      <c r="D71" s="73"/>
      <c r="E71" s="73"/>
      <c r="G71" s="44"/>
      <c r="H71" s="40">
        <v>0</v>
      </c>
      <c r="I71" s="35"/>
      <c r="J71" s="36"/>
      <c r="K71" s="36"/>
      <c r="L71" s="159"/>
      <c r="M71" s="160"/>
      <c r="N71" s="149"/>
      <c r="O71" s="150"/>
    </row>
    <row r="72" spans="1:15" s="41" customFormat="1" ht="15" customHeight="1" thickBot="1">
      <c r="A72" s="89"/>
      <c r="B72" s="133"/>
      <c r="C72" s="43"/>
      <c r="D72" s="35"/>
      <c r="E72" s="35"/>
      <c r="F72" s="35"/>
      <c r="G72" s="44"/>
      <c r="H72" s="45">
        <f>SUM(H70:H71)</f>
        <v>0</v>
      </c>
      <c r="I72" s="35"/>
      <c r="J72" s="36"/>
      <c r="K72" s="36"/>
      <c r="L72" s="159"/>
      <c r="M72" s="160"/>
      <c r="N72" s="149"/>
      <c r="O72" s="150"/>
    </row>
    <row r="73" spans="1:15" s="41" customFormat="1" ht="15" customHeight="1" thickTop="1">
      <c r="A73" s="88"/>
      <c r="B73" s="131"/>
      <c r="C73" s="38"/>
      <c r="D73" s="35"/>
      <c r="E73" s="35"/>
      <c r="F73" s="35"/>
      <c r="G73" s="33"/>
      <c r="H73" s="39"/>
      <c r="I73" s="35"/>
      <c r="J73" s="36"/>
      <c r="K73" s="36"/>
      <c r="L73" s="155"/>
      <c r="M73" s="156"/>
      <c r="N73" s="145"/>
      <c r="O73" s="146"/>
    </row>
    <row r="74" spans="1:15" s="41" customFormat="1" ht="15" customHeight="1">
      <c r="A74" s="88"/>
      <c r="B74" s="131"/>
      <c r="C74" s="942" t="s">
        <v>257</v>
      </c>
      <c r="D74" s="952"/>
      <c r="E74" s="952"/>
      <c r="F74" s="952"/>
      <c r="G74" s="33" t="s">
        <v>11</v>
      </c>
      <c r="H74" s="34">
        <f>H77</f>
        <v>0</v>
      </c>
      <c r="I74" s="35"/>
      <c r="J74" s="36"/>
      <c r="K74" s="36"/>
      <c r="L74" s="155"/>
      <c r="M74" s="156">
        <f>H74*L74</f>
        <v>0</v>
      </c>
      <c r="N74" s="145"/>
      <c r="O74" s="146">
        <f>J74*N74</f>
        <v>0</v>
      </c>
    </row>
    <row r="75" spans="1:15" s="41" customFormat="1" ht="15" customHeight="1">
      <c r="A75" s="89"/>
      <c r="B75" s="133"/>
      <c r="C75" s="43"/>
      <c r="D75" s="73">
        <v>0</v>
      </c>
      <c r="E75" s="73"/>
      <c r="F75" s="42"/>
      <c r="G75" s="44"/>
      <c r="H75" s="40">
        <f>D75</f>
        <v>0</v>
      </c>
      <c r="I75" s="35"/>
      <c r="J75" s="36"/>
      <c r="K75" s="36"/>
      <c r="L75" s="159"/>
      <c r="M75" s="160"/>
      <c r="N75" s="149"/>
      <c r="O75" s="150"/>
    </row>
    <row r="76" spans="1:15" s="41" customFormat="1" ht="15" customHeight="1">
      <c r="A76" s="89"/>
      <c r="B76" s="133"/>
      <c r="C76" s="43" t="s">
        <v>237</v>
      </c>
      <c r="D76" s="73"/>
      <c r="E76" s="73"/>
      <c r="G76" s="44"/>
      <c r="H76" s="40">
        <v>0</v>
      </c>
      <c r="I76" s="35"/>
      <c r="J76" s="36"/>
      <c r="K76" s="36"/>
      <c r="L76" s="159"/>
      <c r="M76" s="160"/>
      <c r="N76" s="149"/>
      <c r="O76" s="150"/>
    </row>
    <row r="77" spans="1:15" s="41" customFormat="1" ht="15" customHeight="1" thickBot="1">
      <c r="A77" s="89"/>
      <c r="B77" s="133"/>
      <c r="C77" s="43"/>
      <c r="D77" s="35"/>
      <c r="E77" s="35"/>
      <c r="F77" s="35"/>
      <c r="G77" s="44"/>
      <c r="H77" s="45">
        <f>SUM(H75:H76)</f>
        <v>0</v>
      </c>
      <c r="I77" s="35"/>
      <c r="J77" s="36"/>
      <c r="K77" s="36"/>
      <c r="L77" s="159"/>
      <c r="M77" s="160"/>
      <c r="N77" s="149"/>
      <c r="O77" s="150"/>
    </row>
    <row r="78" spans="1:15" s="41" customFormat="1" ht="15" customHeight="1" thickTop="1">
      <c r="A78" s="89"/>
      <c r="B78" s="133"/>
      <c r="C78" s="43"/>
      <c r="D78" s="35"/>
      <c r="E78" s="35"/>
      <c r="F78" s="35"/>
      <c r="G78" s="44"/>
      <c r="H78" s="140"/>
      <c r="I78" s="35"/>
      <c r="J78" s="36"/>
      <c r="K78" s="36"/>
      <c r="L78" s="159"/>
      <c r="M78" s="160"/>
      <c r="N78" s="149"/>
      <c r="O78" s="150"/>
    </row>
    <row r="79" spans="1:15" s="41" customFormat="1" ht="15" customHeight="1">
      <c r="A79" s="88"/>
      <c r="B79" s="131"/>
      <c r="C79" s="942" t="s">
        <v>85</v>
      </c>
      <c r="D79" s="952"/>
      <c r="E79" s="952"/>
      <c r="F79" s="952"/>
      <c r="G79" s="33" t="s">
        <v>10</v>
      </c>
      <c r="H79" s="724">
        <f>ROUNDUP(H85,0)*(1+I79)</f>
        <v>0</v>
      </c>
      <c r="I79" s="749">
        <v>0.05</v>
      </c>
      <c r="J79" s="36"/>
      <c r="K79" s="242" t="s">
        <v>91</v>
      </c>
      <c r="L79" s="159">
        <f>VLOOKUP(K79,Costings!$A$49:$B$59,2,FALSE)</f>
        <v>158</v>
      </c>
      <c r="M79" s="160">
        <f>H79*L79</f>
        <v>0</v>
      </c>
      <c r="N79" s="149">
        <f>L79*1.5</f>
        <v>237</v>
      </c>
      <c r="O79" s="150">
        <f>H79*N79</f>
        <v>0</v>
      </c>
    </row>
    <row r="80" spans="1:15" s="41" customFormat="1" ht="15" customHeight="1">
      <c r="A80" s="88"/>
      <c r="B80" s="131"/>
      <c r="C80" s="233" t="s">
        <v>258</v>
      </c>
      <c r="D80" s="726"/>
      <c r="E80" s="726"/>
      <c r="F80" s="726"/>
      <c r="G80" s="33"/>
      <c r="H80" s="724">
        <f>D80*E80</f>
        <v>0</v>
      </c>
      <c r="I80" s="35"/>
      <c r="J80" s="36"/>
      <c r="K80" s="36"/>
      <c r="L80" s="159"/>
      <c r="M80" s="160"/>
      <c r="N80" s="149"/>
      <c r="O80" s="150"/>
    </row>
    <row r="81" spans="1:19" s="41" customFormat="1" ht="15" customHeight="1">
      <c r="A81" s="89"/>
      <c r="B81" s="133"/>
      <c r="C81" s="43" t="s">
        <v>259</v>
      </c>
      <c r="D81" s="726"/>
      <c r="E81" s="726"/>
      <c r="F81" s="714"/>
      <c r="G81" s="103"/>
      <c r="H81" s="724">
        <f>D81*E81</f>
        <v>0</v>
      </c>
      <c r="I81" s="35"/>
      <c r="J81" s="36"/>
      <c r="K81" s="36"/>
      <c r="L81" s="159"/>
      <c r="M81" s="160"/>
      <c r="N81" s="149"/>
      <c r="O81" s="150"/>
      <c r="P81" s="22"/>
      <c r="Q81" s="22"/>
      <c r="R81" s="22"/>
      <c r="S81" s="22"/>
    </row>
    <row r="82" spans="1:19" s="41" customFormat="1" ht="15" customHeight="1">
      <c r="A82" s="89"/>
      <c r="B82" s="133"/>
      <c r="C82" s="43"/>
      <c r="D82" s="726"/>
      <c r="E82" s="726"/>
      <c r="F82" s="714">
        <f>D14+D18</f>
        <v>0</v>
      </c>
      <c r="G82" s="103"/>
      <c r="H82" s="725">
        <f>D82*E82*F82</f>
        <v>0</v>
      </c>
      <c r="I82" s="35"/>
      <c r="J82" s="36"/>
      <c r="K82" s="36"/>
      <c r="L82" s="159"/>
      <c r="M82" s="160"/>
      <c r="N82" s="149"/>
      <c r="O82" s="150"/>
      <c r="P82" s="22"/>
      <c r="Q82" s="22"/>
      <c r="R82" s="22"/>
      <c r="S82" s="22"/>
    </row>
    <row r="83" spans="1:19" s="41" customFormat="1" ht="15" customHeight="1">
      <c r="A83" s="89"/>
      <c r="B83" s="133"/>
      <c r="C83" s="43"/>
      <c r="D83" s="726"/>
      <c r="E83" s="726"/>
      <c r="F83" s="726">
        <f>D15</f>
        <v>0</v>
      </c>
      <c r="G83" s="103"/>
      <c r="H83" s="725">
        <f>D83*E83*F83</f>
        <v>0</v>
      </c>
      <c r="I83" s="35"/>
      <c r="J83" s="36"/>
      <c r="K83" s="36"/>
      <c r="L83" s="159"/>
      <c r="M83" s="160"/>
      <c r="N83" s="149"/>
      <c r="O83" s="150"/>
      <c r="P83" s="22"/>
      <c r="Q83" s="22"/>
      <c r="R83" s="22"/>
      <c r="S83" s="22"/>
    </row>
    <row r="84" spans="1:19" s="41" customFormat="1" ht="15" customHeight="1">
      <c r="A84" s="89"/>
      <c r="B84" s="133"/>
      <c r="C84" s="43"/>
      <c r="D84" s="726"/>
      <c r="E84" s="726"/>
      <c r="F84" s="726">
        <f>D16+D17</f>
        <v>0</v>
      </c>
      <c r="G84" s="103"/>
      <c r="H84" s="725">
        <f>D84*E84*F84</f>
        <v>0</v>
      </c>
      <c r="I84" s="35"/>
      <c r="J84" s="36"/>
      <c r="K84" s="36"/>
      <c r="L84" s="159"/>
      <c r="M84" s="160"/>
      <c r="N84" s="149"/>
      <c r="O84" s="150"/>
      <c r="P84" s="22"/>
      <c r="Q84" s="22"/>
      <c r="R84" s="22"/>
      <c r="S84" s="22"/>
    </row>
    <row r="85" spans="1:19" s="41" customFormat="1" ht="15" customHeight="1" thickBot="1">
      <c r="A85" s="88"/>
      <c r="B85" s="131"/>
      <c r="C85" s="43"/>
      <c r="D85" s="35"/>
      <c r="E85" s="35"/>
      <c r="F85" s="35"/>
      <c r="G85" s="44"/>
      <c r="H85" s="45">
        <f>SUM(H80:H84)</f>
        <v>0</v>
      </c>
      <c r="I85" s="35"/>
      <c r="J85" s="36"/>
      <c r="K85" s="36"/>
      <c r="L85" s="159"/>
      <c r="M85" s="160"/>
      <c r="N85" s="149"/>
      <c r="O85" s="150"/>
    </row>
    <row r="86" spans="1:19" s="41" customFormat="1" ht="15" customHeight="1" thickTop="1">
      <c r="A86" s="89"/>
      <c r="B86" s="133"/>
      <c r="C86" s="38"/>
      <c r="D86" s="35"/>
      <c r="E86" s="35"/>
      <c r="F86" s="35"/>
      <c r="G86" s="33"/>
      <c r="H86" s="39"/>
      <c r="I86" s="35"/>
      <c r="J86" s="36"/>
      <c r="K86" s="36"/>
      <c r="L86" s="155"/>
      <c r="M86" s="156"/>
      <c r="N86" s="145"/>
      <c r="O86" s="146"/>
    </row>
    <row r="87" spans="1:19" s="41" customFormat="1" ht="15" customHeight="1">
      <c r="A87" s="89"/>
      <c r="B87" s="133"/>
      <c r="C87" s="942" t="s">
        <v>235</v>
      </c>
      <c r="D87" s="952"/>
      <c r="E87" s="952"/>
      <c r="F87" s="952"/>
      <c r="G87" s="33" t="s">
        <v>236</v>
      </c>
      <c r="H87" s="34">
        <f>H90</f>
        <v>0</v>
      </c>
      <c r="I87" s="35"/>
      <c r="J87" s="36"/>
      <c r="K87" s="36"/>
      <c r="L87" s="155">
        <v>1</v>
      </c>
      <c r="M87" s="156">
        <f>H87*L87</f>
        <v>0</v>
      </c>
      <c r="N87" s="145">
        <v>1.5</v>
      </c>
      <c r="O87" s="146">
        <f>N87*H87</f>
        <v>0</v>
      </c>
    </row>
    <row r="88" spans="1:19" s="41" customFormat="1" ht="15" customHeight="1">
      <c r="A88" s="89"/>
      <c r="B88" s="133"/>
      <c r="C88" s="43"/>
      <c r="D88" s="73">
        <v>180</v>
      </c>
      <c r="E88" s="795"/>
      <c r="F88" s="42"/>
      <c r="G88" s="44"/>
      <c r="H88" s="40">
        <f>D88*E88</f>
        <v>0</v>
      </c>
      <c r="I88" s="35"/>
      <c r="J88" s="36"/>
      <c r="K88" s="36"/>
      <c r="L88" s="159"/>
      <c r="M88" s="160"/>
      <c r="N88" s="149"/>
      <c r="O88" s="150"/>
      <c r="Q88" s="35"/>
    </row>
    <row r="89" spans="1:19" s="41" customFormat="1" ht="15" customHeight="1">
      <c r="A89" s="89"/>
      <c r="B89" s="133"/>
      <c r="C89" s="43" t="s">
        <v>237</v>
      </c>
      <c r="D89" s="73">
        <f>H79</f>
        <v>0</v>
      </c>
      <c r="E89" s="73">
        <v>8</v>
      </c>
      <c r="G89" s="44"/>
      <c r="H89" s="40">
        <f>D89*E89</f>
        <v>0</v>
      </c>
      <c r="I89" s="35"/>
      <c r="J89" s="36"/>
      <c r="K89" s="36"/>
      <c r="L89" s="159"/>
      <c r="M89" s="160"/>
      <c r="N89" s="149"/>
      <c r="O89" s="150"/>
    </row>
    <row r="90" spans="1:19" s="41" customFormat="1" ht="15" customHeight="1" thickBot="1">
      <c r="A90" s="91"/>
      <c r="C90" s="43"/>
      <c r="D90" s="35"/>
      <c r="E90" s="35"/>
      <c r="F90" s="35"/>
      <c r="G90" s="44"/>
      <c r="H90" s="45">
        <f>SUM(H88:H89)</f>
        <v>0</v>
      </c>
      <c r="I90" s="35"/>
      <c r="J90" s="36"/>
      <c r="K90" s="36"/>
      <c r="L90" s="159"/>
      <c r="M90" s="160"/>
      <c r="N90" s="149"/>
      <c r="O90" s="150"/>
    </row>
    <row r="91" spans="1:19" s="41" customFormat="1" ht="15" customHeight="1" thickTop="1">
      <c r="A91" s="91"/>
      <c r="B91" s="166"/>
      <c r="C91" s="43"/>
      <c r="D91" s="35"/>
      <c r="E91" s="35"/>
      <c r="F91" s="35"/>
      <c r="G91" s="44"/>
      <c r="H91" s="140"/>
      <c r="I91" s="35"/>
      <c r="J91" s="36"/>
      <c r="K91" s="36"/>
      <c r="L91" s="159"/>
      <c r="M91" s="160"/>
      <c r="N91" s="149"/>
      <c r="O91" s="150"/>
    </row>
    <row r="92" spans="1:19" s="41" customFormat="1" ht="15" customHeight="1">
      <c r="A92" s="91"/>
      <c r="B92" s="166" t="s">
        <v>134</v>
      </c>
      <c r="C92" s="24"/>
      <c r="D92" s="483"/>
      <c r="E92" s="483"/>
      <c r="F92" s="483"/>
      <c r="G92" s="33"/>
      <c r="H92" s="554"/>
      <c r="I92" s="17"/>
      <c r="J92" s="20"/>
      <c r="K92" s="20"/>
      <c r="L92" s="157"/>
      <c r="M92" s="158"/>
      <c r="N92" s="147"/>
      <c r="O92" s="148"/>
    </row>
    <row r="93" spans="1:19" ht="15" customHeight="1">
      <c r="A93" s="91"/>
      <c r="B93" s="166"/>
      <c r="C93" s="24"/>
      <c r="D93" s="483" t="s">
        <v>135</v>
      </c>
      <c r="E93" s="483" t="s">
        <v>136</v>
      </c>
      <c r="F93" s="483" t="s">
        <v>137</v>
      </c>
      <c r="G93" s="33"/>
      <c r="H93" s="554"/>
      <c r="I93" s="17"/>
      <c r="J93" s="20"/>
      <c r="K93" s="20"/>
      <c r="L93" s="157"/>
      <c r="M93" s="158"/>
      <c r="N93" s="147"/>
      <c r="O93" s="148"/>
      <c r="P93" s="41"/>
      <c r="Q93" s="41"/>
      <c r="R93" s="41"/>
      <c r="S93" s="41"/>
    </row>
    <row r="94" spans="1:19" ht="15" customHeight="1">
      <c r="A94" s="91"/>
      <c r="B94" s="130"/>
      <c r="C94" s="86" t="s">
        <v>260</v>
      </c>
      <c r="D94" s="507"/>
      <c r="E94" s="502">
        <v>8</v>
      </c>
      <c r="F94" s="507">
        <v>2</v>
      </c>
      <c r="G94" s="33"/>
      <c r="H94" s="555">
        <f>D94*E94*F94</f>
        <v>0</v>
      </c>
      <c r="I94" s="87"/>
      <c r="J94" s="20"/>
      <c r="K94" s="20"/>
      <c r="L94" s="157">
        <v>75</v>
      </c>
      <c r="M94" s="158">
        <f>H94*L94</f>
        <v>0</v>
      </c>
      <c r="N94" s="147">
        <v>82.5</v>
      </c>
      <c r="O94" s="148">
        <f>N94*H94</f>
        <v>0</v>
      </c>
      <c r="P94" s="41"/>
      <c r="Q94" s="41"/>
      <c r="R94" s="41"/>
      <c r="S94" s="41"/>
    </row>
    <row r="95" spans="1:19" s="41" customFormat="1" ht="15" customHeight="1">
      <c r="A95" s="91"/>
      <c r="C95" s="452" t="s">
        <v>261</v>
      </c>
      <c r="D95" s="507"/>
      <c r="E95" s="502">
        <v>8</v>
      </c>
      <c r="F95" s="507">
        <v>1</v>
      </c>
      <c r="G95" s="33"/>
      <c r="H95" s="555">
        <f>D95*E95*F95</f>
        <v>0</v>
      </c>
      <c r="I95" s="87"/>
      <c r="J95" s="20"/>
      <c r="K95" s="20"/>
      <c r="L95" s="157">
        <v>75</v>
      </c>
      <c r="M95" s="158">
        <f>H95*L95</f>
        <v>0</v>
      </c>
      <c r="N95" s="147">
        <v>82.5</v>
      </c>
      <c r="O95" s="148">
        <f>N95*H95</f>
        <v>0</v>
      </c>
      <c r="P95" s="37"/>
      <c r="Q95" s="37"/>
      <c r="R95" s="37"/>
      <c r="S95" s="37"/>
    </row>
    <row r="96" spans="1:19" s="41" customFormat="1" ht="15" customHeight="1">
      <c r="A96" s="91"/>
      <c r="B96" s="23" t="s">
        <v>262</v>
      </c>
      <c r="C96" s="16"/>
      <c r="D96" s="17"/>
      <c r="E96" s="17"/>
      <c r="F96" s="17"/>
      <c r="G96" s="18"/>
      <c r="H96" s="19"/>
      <c r="I96" s="17"/>
      <c r="J96" s="20"/>
      <c r="K96" s="20"/>
      <c r="L96" s="157"/>
      <c r="M96" s="158"/>
      <c r="N96" s="147"/>
      <c r="O96" s="148"/>
      <c r="P96" s="37"/>
      <c r="Q96" s="37"/>
      <c r="R96" s="37"/>
      <c r="S96" s="37"/>
    </row>
    <row r="97" spans="1:18" s="41" customFormat="1" ht="15" customHeight="1">
      <c r="A97" s="91"/>
      <c r="B97" s="130"/>
      <c r="C97" s="953" t="s">
        <v>263</v>
      </c>
      <c r="D97" s="954"/>
      <c r="E97" s="954"/>
      <c r="F97" s="954"/>
      <c r="G97" s="18" t="s">
        <v>10</v>
      </c>
      <c r="H97" s="25">
        <v>0</v>
      </c>
      <c r="I97" s="17"/>
      <c r="J97" s="20"/>
      <c r="K97" s="20"/>
      <c r="L97" s="157">
        <v>300</v>
      </c>
      <c r="M97" s="158" t="s">
        <v>264</v>
      </c>
      <c r="N97" s="147">
        <v>300</v>
      </c>
      <c r="O97" s="148" t="s">
        <v>264</v>
      </c>
    </row>
    <row r="98" spans="1:18" s="41" customFormat="1" ht="15" customHeight="1">
      <c r="C98" s="24"/>
      <c r="D98" s="22"/>
      <c r="E98" s="22"/>
      <c r="F98" s="22"/>
      <c r="G98" s="18"/>
      <c r="H98" s="25"/>
      <c r="I98" s="17"/>
      <c r="J98" s="20"/>
      <c r="K98" s="20"/>
      <c r="L98" s="157"/>
      <c r="M98" s="158"/>
      <c r="N98" s="147"/>
      <c r="O98" s="148"/>
    </row>
    <row r="99" spans="1:18" s="41" customFormat="1" ht="15" customHeight="1">
      <c r="A99" s="93"/>
      <c r="B99" s="131"/>
      <c r="C99" s="86"/>
      <c r="D99" s="85"/>
      <c r="E99" s="85"/>
      <c r="F99" s="85"/>
      <c r="G99" s="18"/>
      <c r="H99" s="21">
        <v>0</v>
      </c>
      <c r="I99" s="87"/>
      <c r="J99" s="20"/>
      <c r="K99" s="20"/>
      <c r="L99" s="161" t="e">
        <f>M100/H8</f>
        <v>#DIV/0!</v>
      </c>
      <c r="M99" s="158"/>
      <c r="N99" s="151" t="e">
        <f>O100/H8</f>
        <v>#DIV/0!</v>
      </c>
      <c r="O99" s="148"/>
      <c r="R99" s="164"/>
    </row>
    <row r="100" spans="1:18" s="41" customFormat="1" ht="15" customHeight="1">
      <c r="A100" s="90"/>
      <c r="B100" s="132"/>
      <c r="C100" s="67"/>
      <c r="D100" s="75"/>
      <c r="E100" s="75"/>
      <c r="F100" s="75"/>
      <c r="G100" s="69"/>
      <c r="H100" s="70"/>
      <c r="I100" s="75"/>
      <c r="J100" s="76"/>
      <c r="K100" s="76"/>
      <c r="L100" s="154" t="s">
        <v>140</v>
      </c>
      <c r="M100" s="154">
        <f>SUM(M13:M96)</f>
        <v>0</v>
      </c>
      <c r="N100" s="144" t="s">
        <v>140</v>
      </c>
      <c r="O100" s="144">
        <f>SUM(O13:O96)</f>
        <v>0</v>
      </c>
      <c r="P100" s="169"/>
      <c r="Q100" s="170"/>
      <c r="R100" s="171"/>
    </row>
    <row r="101" spans="1:18" s="41" customFormat="1" ht="15" customHeight="1">
      <c r="A101" s="93"/>
      <c r="B101" s="131"/>
      <c r="C101" s="38"/>
      <c r="D101" s="66"/>
      <c r="E101" s="64"/>
      <c r="F101" s="79"/>
      <c r="G101" s="80"/>
      <c r="H101" s="37"/>
      <c r="I101" s="63"/>
      <c r="J101" s="64"/>
      <c r="K101" s="64"/>
      <c r="L101" s="64"/>
      <c r="M101" s="82"/>
    </row>
    <row r="102" spans="1:18" s="41" customFormat="1" ht="15" customHeight="1">
      <c r="A102" s="93"/>
      <c r="B102" s="131"/>
      <c r="C102" s="38"/>
      <c r="D102" s="66"/>
      <c r="E102" s="64"/>
      <c r="F102" s="79"/>
      <c r="G102" s="80"/>
      <c r="H102" s="37"/>
      <c r="I102" s="63"/>
      <c r="J102" s="64"/>
      <c r="K102" s="64"/>
      <c r="L102" s="64"/>
      <c r="M102" s="82"/>
    </row>
    <row r="103" spans="1:18" s="41" customFormat="1" ht="15" customHeight="1">
      <c r="A103" s="93"/>
      <c r="B103" s="131"/>
      <c r="C103" s="38"/>
      <c r="D103" s="66"/>
      <c r="E103" s="64"/>
      <c r="F103" s="79"/>
      <c r="G103" s="80"/>
      <c r="H103" s="37"/>
      <c r="I103" s="63"/>
      <c r="J103" s="64"/>
      <c r="K103" s="64"/>
      <c r="L103" s="64"/>
      <c r="M103" s="82"/>
    </row>
    <row r="104" spans="1:18" s="41" customFormat="1" ht="15" customHeight="1">
      <c r="A104" s="93"/>
      <c r="B104" s="131"/>
      <c r="C104" s="38"/>
      <c r="D104" s="66"/>
      <c r="E104" s="64"/>
      <c r="F104" s="79"/>
      <c r="G104" s="80"/>
      <c r="H104" s="37"/>
      <c r="I104" s="63"/>
      <c r="J104" s="64"/>
      <c r="K104" s="64"/>
      <c r="L104" s="64"/>
      <c r="M104" s="82"/>
    </row>
    <row r="105" spans="1:18" s="41" customFormat="1" ht="15" customHeight="1">
      <c r="A105" s="93"/>
      <c r="B105" s="131"/>
      <c r="C105" s="38"/>
      <c r="D105" s="66"/>
      <c r="E105" s="64"/>
      <c r="F105" s="79"/>
      <c r="G105" s="80"/>
      <c r="H105" s="37"/>
      <c r="I105" s="63"/>
      <c r="J105" s="64"/>
      <c r="K105" s="64"/>
      <c r="L105" s="64"/>
      <c r="M105" s="82"/>
    </row>
    <row r="106" spans="1:18" s="41" customFormat="1" ht="15" customHeight="1">
      <c r="A106" s="93"/>
      <c r="B106" s="131"/>
      <c r="C106" s="38"/>
      <c r="D106" s="66"/>
      <c r="E106" s="64"/>
      <c r="F106" s="79"/>
      <c r="G106" s="80"/>
      <c r="H106" s="37"/>
      <c r="I106" s="63"/>
      <c r="J106" s="64"/>
      <c r="K106" s="64"/>
      <c r="L106" s="64"/>
      <c r="M106" s="82"/>
    </row>
    <row r="107" spans="1:18" s="41" customFormat="1" ht="15" customHeight="1">
      <c r="A107" s="93"/>
      <c r="B107" s="131"/>
      <c r="C107" s="38"/>
      <c r="D107" s="66"/>
      <c r="E107" s="64"/>
      <c r="F107" s="79"/>
      <c r="G107" s="80"/>
      <c r="H107" s="37"/>
      <c r="I107" s="63"/>
      <c r="J107" s="64"/>
      <c r="K107" s="64"/>
      <c r="L107" s="64"/>
      <c r="M107" s="82"/>
    </row>
    <row r="108" spans="1:18" s="41" customFormat="1" ht="15" customHeight="1">
      <c r="A108" s="93"/>
      <c r="B108" s="131"/>
      <c r="C108" s="38"/>
      <c r="D108" s="66"/>
      <c r="E108" s="64"/>
      <c r="F108" s="79"/>
      <c r="G108" s="80"/>
      <c r="H108" s="37"/>
      <c r="I108" s="63"/>
      <c r="J108" s="64"/>
      <c r="K108" s="64"/>
      <c r="L108" s="64"/>
      <c r="M108" s="82"/>
    </row>
    <row r="109" spans="1:18" s="41" customFormat="1" ht="15" customHeight="1">
      <c r="A109" s="93"/>
      <c r="B109" s="131"/>
      <c r="C109" s="38"/>
      <c r="D109" s="66"/>
      <c r="E109" s="64"/>
      <c r="F109" s="79"/>
      <c r="G109" s="80"/>
      <c r="H109" s="37"/>
      <c r="I109" s="63"/>
      <c r="J109" s="64"/>
      <c r="K109" s="64"/>
      <c r="L109" s="64"/>
      <c r="M109" s="82"/>
    </row>
    <row r="110" spans="1:18" s="41" customFormat="1" ht="15" customHeight="1">
      <c r="A110" s="93"/>
      <c r="B110" s="131"/>
      <c r="C110" s="38"/>
      <c r="D110" s="66"/>
      <c r="E110" s="64"/>
      <c r="F110" s="79"/>
      <c r="G110" s="80"/>
      <c r="H110" s="37"/>
      <c r="I110" s="63"/>
      <c r="J110" s="64"/>
      <c r="K110" s="64"/>
      <c r="L110" s="64"/>
      <c r="M110" s="82"/>
    </row>
    <row r="111" spans="1:18" s="41" customFormat="1" ht="15" customHeight="1">
      <c r="A111" s="93"/>
      <c r="B111" s="131"/>
      <c r="C111" s="38"/>
      <c r="D111" s="66"/>
      <c r="E111" s="64"/>
      <c r="F111" s="79"/>
      <c r="G111" s="80"/>
      <c r="H111" s="37"/>
      <c r="I111" s="63"/>
      <c r="J111" s="64"/>
      <c r="K111" s="64"/>
      <c r="L111" s="64"/>
      <c r="M111" s="82"/>
    </row>
    <row r="112" spans="1:18" s="41" customFormat="1" ht="15" customHeight="1">
      <c r="A112" s="93"/>
      <c r="B112" s="131"/>
      <c r="C112" s="38"/>
      <c r="D112" s="66"/>
      <c r="E112" s="64"/>
      <c r="F112" s="79"/>
      <c r="G112" s="80"/>
      <c r="H112" s="37"/>
      <c r="I112" s="63"/>
      <c r="J112" s="64"/>
      <c r="K112" s="64"/>
      <c r="L112" s="64"/>
      <c r="M112" s="82"/>
    </row>
    <row r="113" spans="1:19" s="41" customFormat="1" ht="15" customHeight="1">
      <c r="A113" s="93"/>
      <c r="B113" s="131"/>
      <c r="C113" s="38"/>
      <c r="D113" s="66"/>
      <c r="E113" s="64"/>
      <c r="F113" s="79"/>
      <c r="G113" s="80"/>
      <c r="H113" s="37"/>
      <c r="I113" s="63"/>
      <c r="J113" s="64"/>
      <c r="K113" s="64"/>
      <c r="L113" s="64"/>
      <c r="M113" s="82"/>
    </row>
    <row r="114" spans="1:19" s="41" customFormat="1" ht="15" customHeight="1">
      <c r="A114" s="93"/>
      <c r="B114" s="131"/>
      <c r="C114" s="38"/>
      <c r="D114" s="66"/>
      <c r="E114" s="64"/>
      <c r="F114" s="79"/>
      <c r="G114" s="80"/>
      <c r="H114" s="37"/>
      <c r="I114" s="63"/>
      <c r="J114" s="64"/>
      <c r="K114" s="64"/>
      <c r="L114" s="64"/>
      <c r="M114" s="82"/>
    </row>
    <row r="115" spans="1:19" ht="15" customHeight="1">
      <c r="N115" s="41"/>
      <c r="O115" s="41"/>
      <c r="P115" s="41"/>
      <c r="Q115" s="41"/>
      <c r="R115" s="41"/>
      <c r="S115" s="41"/>
    </row>
    <row r="116" spans="1:19" ht="15" customHeight="1">
      <c r="N116" s="41"/>
      <c r="O116" s="41"/>
      <c r="P116" s="41"/>
      <c r="Q116" s="41"/>
      <c r="R116" s="41"/>
      <c r="S116" s="41"/>
    </row>
    <row r="117" spans="1:19" s="41" customFormat="1" ht="15" customHeight="1">
      <c r="A117" s="93"/>
      <c r="B117" s="131"/>
      <c r="C117" s="38"/>
      <c r="D117" s="66"/>
      <c r="E117" s="64"/>
      <c r="F117" s="79"/>
      <c r="G117" s="80"/>
      <c r="H117" s="37"/>
      <c r="I117" s="63"/>
      <c r="J117" s="64"/>
      <c r="K117" s="64"/>
      <c r="L117" s="64"/>
      <c r="M117" s="82"/>
      <c r="P117" s="37"/>
      <c r="Q117" s="37"/>
      <c r="R117" s="37"/>
      <c r="S117" s="37"/>
    </row>
    <row r="118" spans="1:19" s="41" customFormat="1" ht="15" customHeight="1">
      <c r="A118" s="93"/>
      <c r="B118" s="131"/>
      <c r="C118" s="38"/>
      <c r="D118" s="66"/>
      <c r="E118" s="64"/>
      <c r="F118" s="79"/>
      <c r="G118" s="80"/>
      <c r="H118" s="37"/>
      <c r="I118" s="63"/>
      <c r="J118" s="64"/>
      <c r="K118" s="64"/>
      <c r="L118" s="64"/>
      <c r="M118" s="82"/>
      <c r="P118" s="37"/>
      <c r="Q118" s="37"/>
      <c r="R118" s="37"/>
      <c r="S118" s="37"/>
    </row>
    <row r="119" spans="1:19" s="41" customFormat="1" ht="15" customHeight="1">
      <c r="A119" s="93"/>
      <c r="B119" s="131"/>
      <c r="C119" s="38"/>
      <c r="D119" s="66"/>
      <c r="E119" s="64"/>
      <c r="F119" s="79"/>
      <c r="G119" s="80"/>
      <c r="H119" s="37"/>
      <c r="I119" s="63"/>
      <c r="J119" s="64"/>
      <c r="K119" s="64"/>
      <c r="L119" s="64"/>
      <c r="M119" s="82"/>
    </row>
    <row r="120" spans="1:19" s="41" customFormat="1" ht="15" customHeight="1">
      <c r="A120" s="93"/>
      <c r="B120" s="131"/>
      <c r="C120" s="38"/>
      <c r="D120" s="66"/>
      <c r="E120" s="64"/>
      <c r="F120" s="79"/>
      <c r="G120" s="80"/>
      <c r="H120" s="37"/>
      <c r="I120" s="63"/>
      <c r="J120" s="64"/>
      <c r="K120" s="64"/>
      <c r="L120" s="64"/>
      <c r="M120" s="82"/>
    </row>
    <row r="121" spans="1:19" s="41" customFormat="1" ht="15" customHeight="1">
      <c r="A121" s="93"/>
      <c r="B121" s="131"/>
      <c r="C121" s="38"/>
      <c r="D121" s="66"/>
      <c r="E121" s="64"/>
      <c r="F121" s="79"/>
      <c r="G121" s="80"/>
      <c r="H121" s="37"/>
      <c r="I121" s="63"/>
      <c r="J121" s="64"/>
      <c r="K121" s="64"/>
      <c r="L121" s="64"/>
      <c r="M121" s="82"/>
    </row>
    <row r="122" spans="1:19" s="41" customFormat="1" ht="15" customHeight="1">
      <c r="A122" s="93"/>
      <c r="B122" s="131"/>
      <c r="C122" s="38"/>
      <c r="D122" s="66"/>
      <c r="E122" s="64"/>
      <c r="F122" s="79"/>
      <c r="G122" s="80"/>
      <c r="H122" s="37"/>
      <c r="I122" s="63"/>
      <c r="J122" s="64"/>
      <c r="K122" s="64"/>
      <c r="L122" s="64"/>
      <c r="M122" s="82"/>
    </row>
    <row r="123" spans="1:19" s="41" customFormat="1" ht="15" customHeight="1">
      <c r="A123" s="93"/>
      <c r="B123" s="131"/>
      <c r="C123" s="38"/>
      <c r="D123" s="66"/>
      <c r="E123" s="64"/>
      <c r="F123" s="79"/>
      <c r="G123" s="80"/>
      <c r="H123" s="37"/>
      <c r="I123" s="63"/>
      <c r="J123" s="64"/>
      <c r="K123" s="64"/>
      <c r="L123" s="64"/>
      <c r="M123" s="82"/>
    </row>
    <row r="124" spans="1:19" ht="15" customHeight="1">
      <c r="N124" s="41"/>
      <c r="O124" s="41"/>
      <c r="P124" s="41"/>
      <c r="Q124" s="41"/>
      <c r="R124" s="41"/>
      <c r="S124" s="41"/>
    </row>
    <row r="125" spans="1:19" ht="15" customHeight="1">
      <c r="N125" s="41"/>
      <c r="O125" s="41"/>
      <c r="P125" s="41"/>
      <c r="Q125" s="41"/>
      <c r="R125" s="41"/>
      <c r="S125" s="41"/>
    </row>
    <row r="126" spans="1:19" s="41" customFormat="1" ht="15" customHeight="1">
      <c r="A126" s="93"/>
      <c r="B126" s="131"/>
      <c r="C126" s="38"/>
      <c r="D126" s="66"/>
      <c r="E126" s="64"/>
      <c r="F126" s="79"/>
      <c r="G126" s="80"/>
      <c r="H126" s="37"/>
      <c r="I126" s="63"/>
      <c r="J126" s="64"/>
      <c r="K126" s="64"/>
      <c r="L126" s="64"/>
      <c r="M126" s="82"/>
      <c r="P126" s="37"/>
      <c r="Q126" s="37"/>
      <c r="R126" s="37"/>
      <c r="S126" s="37"/>
    </row>
    <row r="127" spans="1:19" s="41" customFormat="1" ht="15" customHeight="1">
      <c r="A127" s="93"/>
      <c r="B127" s="131"/>
      <c r="C127" s="38"/>
      <c r="D127" s="66"/>
      <c r="E127" s="64"/>
      <c r="F127" s="79"/>
      <c r="G127" s="80"/>
      <c r="H127" s="37"/>
      <c r="I127" s="63"/>
      <c r="J127" s="64"/>
      <c r="K127" s="64"/>
      <c r="L127" s="64"/>
      <c r="M127" s="82"/>
      <c r="P127" s="37"/>
      <c r="Q127" s="37"/>
      <c r="R127" s="37"/>
      <c r="S127" s="37"/>
    </row>
    <row r="128" spans="1:19" s="41" customFormat="1" ht="15" customHeight="1">
      <c r="A128" s="93"/>
      <c r="B128" s="131"/>
      <c r="C128" s="38"/>
      <c r="D128" s="66"/>
      <c r="E128" s="64"/>
      <c r="F128" s="79"/>
      <c r="G128" s="80"/>
      <c r="H128" s="37"/>
      <c r="I128" s="63"/>
      <c r="J128" s="64"/>
      <c r="K128" s="64"/>
      <c r="L128" s="64"/>
      <c r="M128" s="82"/>
    </row>
    <row r="129" spans="1:19" ht="15" customHeight="1">
      <c r="N129" s="41"/>
      <c r="O129" s="41"/>
      <c r="P129" s="41"/>
      <c r="Q129" s="41"/>
      <c r="R129" s="41"/>
      <c r="S129" s="41"/>
    </row>
    <row r="130" spans="1:19" ht="15" customHeight="1">
      <c r="N130" s="41"/>
      <c r="O130" s="41"/>
      <c r="P130" s="41"/>
      <c r="Q130" s="41"/>
      <c r="R130" s="41"/>
      <c r="S130" s="41"/>
    </row>
    <row r="131" spans="1:19" s="41" customFormat="1" ht="15" customHeight="1">
      <c r="A131" s="93"/>
      <c r="B131" s="131"/>
      <c r="C131" s="38"/>
      <c r="D131" s="66"/>
      <c r="E131" s="64"/>
      <c r="F131" s="79"/>
      <c r="G131" s="80"/>
      <c r="H131" s="37"/>
      <c r="I131" s="63"/>
      <c r="J131" s="64"/>
      <c r="K131" s="64"/>
      <c r="L131" s="64"/>
      <c r="M131" s="82"/>
      <c r="P131" s="37"/>
      <c r="Q131" s="37"/>
      <c r="R131" s="37"/>
      <c r="S131" s="37"/>
    </row>
    <row r="132" spans="1:19" s="41" customFormat="1" ht="15" customHeight="1">
      <c r="A132" s="93"/>
      <c r="B132" s="131"/>
      <c r="C132" s="38"/>
      <c r="D132" s="66"/>
      <c r="E132" s="64"/>
      <c r="F132" s="79"/>
      <c r="G132" s="80"/>
      <c r="H132" s="37"/>
      <c r="I132" s="63"/>
      <c r="J132" s="64"/>
      <c r="K132" s="64"/>
      <c r="L132" s="64"/>
      <c r="M132" s="82"/>
      <c r="P132" s="37"/>
      <c r="Q132" s="37"/>
      <c r="R132" s="37"/>
      <c r="S132" s="37"/>
    </row>
    <row r="133" spans="1:19" s="41" customFormat="1" ht="15" customHeight="1">
      <c r="A133" s="93"/>
      <c r="B133" s="131"/>
      <c r="C133" s="38"/>
      <c r="D133" s="66"/>
      <c r="E133" s="64"/>
      <c r="F133" s="79"/>
      <c r="G133" s="80"/>
      <c r="H133" s="37"/>
      <c r="I133" s="63"/>
      <c r="J133" s="64"/>
      <c r="K133" s="64"/>
      <c r="L133" s="64"/>
      <c r="M133" s="82"/>
    </row>
    <row r="134" spans="1:19" ht="15" customHeight="1">
      <c r="N134" s="41"/>
      <c r="O134" s="41"/>
      <c r="P134" s="41"/>
      <c r="Q134" s="41"/>
      <c r="R134" s="41"/>
      <c r="S134" s="41"/>
    </row>
    <row r="135" spans="1:19" ht="15" customHeight="1">
      <c r="N135" s="41"/>
      <c r="O135" s="41"/>
      <c r="P135" s="41"/>
      <c r="Q135" s="41"/>
      <c r="R135" s="41"/>
      <c r="S135" s="41"/>
    </row>
    <row r="136" spans="1:19" s="41" customFormat="1" ht="15" customHeight="1">
      <c r="A136" s="93"/>
      <c r="B136" s="131"/>
      <c r="C136" s="38"/>
      <c r="D136" s="66"/>
      <c r="E136" s="64"/>
      <c r="F136" s="79"/>
      <c r="G136" s="80"/>
      <c r="H136" s="37"/>
      <c r="I136" s="63"/>
      <c r="J136" s="64"/>
      <c r="K136" s="64"/>
      <c r="L136" s="64"/>
      <c r="M136" s="82"/>
      <c r="N136" s="37"/>
      <c r="O136" s="37"/>
      <c r="P136" s="37"/>
      <c r="Q136" s="37"/>
      <c r="R136" s="37"/>
      <c r="S136" s="37"/>
    </row>
    <row r="137" spans="1:19" s="41" customFormat="1" ht="15" customHeight="1">
      <c r="A137" s="93"/>
      <c r="B137" s="131"/>
      <c r="C137" s="38"/>
      <c r="D137" s="66"/>
      <c r="E137" s="64"/>
      <c r="F137" s="79"/>
      <c r="G137" s="80"/>
      <c r="H137" s="37"/>
      <c r="I137" s="63"/>
      <c r="J137" s="64"/>
      <c r="K137" s="64"/>
      <c r="L137" s="64"/>
      <c r="M137" s="82"/>
      <c r="N137" s="37"/>
      <c r="O137" s="37"/>
      <c r="P137" s="37"/>
      <c r="Q137" s="37"/>
      <c r="R137" s="37"/>
      <c r="S137" s="37"/>
    </row>
    <row r="138" spans="1:19" s="41" customFormat="1" ht="15" customHeight="1">
      <c r="A138" s="93"/>
      <c r="B138" s="131"/>
      <c r="C138" s="38"/>
      <c r="D138" s="66"/>
      <c r="E138" s="64"/>
      <c r="F138" s="79"/>
      <c r="G138" s="80"/>
      <c r="H138" s="37"/>
      <c r="I138" s="63"/>
      <c r="J138" s="64"/>
      <c r="K138" s="64"/>
      <c r="L138" s="64"/>
      <c r="M138" s="82"/>
    </row>
    <row r="139" spans="1:19" ht="15" customHeight="1">
      <c r="N139" s="41"/>
      <c r="O139" s="41"/>
      <c r="P139" s="41"/>
      <c r="Q139" s="41"/>
      <c r="R139" s="41"/>
      <c r="S139" s="41"/>
    </row>
    <row r="140" spans="1:19" s="22" customFormat="1" ht="15" customHeight="1">
      <c r="A140" s="93"/>
      <c r="B140" s="131"/>
      <c r="C140" s="38"/>
      <c r="D140" s="66"/>
      <c r="E140" s="64"/>
      <c r="F140" s="79"/>
      <c r="G140" s="80"/>
      <c r="H140" s="37"/>
      <c r="I140" s="63"/>
      <c r="J140" s="64"/>
      <c r="K140" s="64"/>
      <c r="L140" s="64"/>
      <c r="M140" s="82"/>
      <c r="N140" s="41"/>
      <c r="O140" s="41"/>
      <c r="P140" s="41"/>
      <c r="Q140" s="41"/>
      <c r="R140" s="41"/>
      <c r="S140" s="41"/>
    </row>
    <row r="141" spans="1:19" s="22" customFormat="1" ht="15" customHeight="1">
      <c r="A141" s="93"/>
      <c r="B141" s="131"/>
      <c r="C141" s="38"/>
      <c r="D141" s="66"/>
      <c r="E141" s="64"/>
      <c r="F141" s="79"/>
      <c r="G141" s="80"/>
      <c r="H141" s="37"/>
      <c r="I141" s="63"/>
      <c r="J141" s="64"/>
      <c r="K141" s="64"/>
      <c r="L141" s="64"/>
      <c r="M141" s="82"/>
      <c r="N141" s="41"/>
      <c r="O141" s="41"/>
      <c r="P141" s="37"/>
      <c r="Q141" s="37"/>
      <c r="R141" s="37"/>
      <c r="S141" s="37"/>
    </row>
    <row r="142" spans="1:19" ht="15" customHeight="1">
      <c r="N142" s="41"/>
      <c r="O142" s="41"/>
      <c r="P142" s="22"/>
      <c r="Q142" s="22"/>
      <c r="R142" s="22"/>
      <c r="S142" s="22"/>
    </row>
    <row r="143" spans="1:19" s="41" customFormat="1" ht="15" customHeight="1">
      <c r="A143" s="93"/>
      <c r="B143" s="131"/>
      <c r="C143" s="38"/>
      <c r="D143" s="66"/>
      <c r="E143" s="64"/>
      <c r="F143" s="79"/>
      <c r="G143" s="80"/>
      <c r="H143" s="37"/>
      <c r="I143" s="63"/>
      <c r="J143" s="64"/>
      <c r="K143" s="64"/>
      <c r="L143" s="64"/>
      <c r="M143" s="82"/>
      <c r="P143" s="22"/>
      <c r="Q143" s="22"/>
      <c r="R143" s="22"/>
      <c r="S143" s="22"/>
    </row>
    <row r="144" spans="1:19" s="41" customFormat="1" ht="15" customHeight="1">
      <c r="A144" s="93"/>
      <c r="B144" s="131"/>
      <c r="C144" s="38"/>
      <c r="D144" s="66"/>
      <c r="E144" s="64"/>
      <c r="F144" s="79"/>
      <c r="G144" s="80"/>
      <c r="H144" s="37"/>
      <c r="I144" s="63"/>
      <c r="J144" s="64"/>
      <c r="K144" s="64"/>
      <c r="L144" s="64"/>
      <c r="M144" s="82"/>
      <c r="P144" s="37"/>
      <c r="Q144" s="37"/>
      <c r="R144" s="37"/>
      <c r="S144" s="37"/>
    </row>
    <row r="145" spans="1:19" s="41" customFormat="1" ht="15" customHeight="1">
      <c r="A145" s="93"/>
      <c r="B145" s="131"/>
      <c r="C145" s="38"/>
      <c r="D145" s="66"/>
      <c r="E145" s="64"/>
      <c r="F145" s="79"/>
      <c r="G145" s="80"/>
      <c r="H145" s="37"/>
      <c r="I145" s="63"/>
      <c r="J145" s="64"/>
      <c r="K145" s="64"/>
      <c r="L145" s="64"/>
      <c r="M145" s="82"/>
      <c r="N145" s="37"/>
      <c r="O145" s="37"/>
    </row>
    <row r="146" spans="1:19" ht="15" customHeight="1">
      <c r="P146" s="41"/>
      <c r="Q146" s="41"/>
      <c r="R146" s="41"/>
      <c r="S146" s="41"/>
    </row>
    <row r="147" spans="1:19" ht="15" customHeight="1">
      <c r="N147" s="41"/>
      <c r="O147" s="41"/>
      <c r="P147" s="41"/>
      <c r="Q147" s="41"/>
      <c r="R147" s="41"/>
      <c r="S147" s="41"/>
    </row>
    <row r="148" spans="1:19" s="41" customFormat="1" ht="15" customHeight="1">
      <c r="A148" s="93"/>
      <c r="B148" s="131"/>
      <c r="C148" s="38"/>
      <c r="D148" s="66"/>
      <c r="E148" s="64"/>
      <c r="F148" s="79"/>
      <c r="G148" s="80"/>
      <c r="H148" s="37"/>
      <c r="I148" s="63"/>
      <c r="J148" s="64"/>
      <c r="K148" s="64"/>
      <c r="L148" s="64"/>
      <c r="M148" s="82"/>
      <c r="P148" s="37"/>
      <c r="Q148" s="37"/>
      <c r="R148" s="37"/>
      <c r="S148" s="37"/>
    </row>
    <row r="149" spans="1:19" s="41" customFormat="1" ht="15" customHeight="1">
      <c r="A149" s="93"/>
      <c r="B149" s="131"/>
      <c r="C149" s="38"/>
      <c r="D149" s="66"/>
      <c r="E149" s="64"/>
      <c r="F149" s="79"/>
      <c r="G149" s="80"/>
      <c r="H149" s="37"/>
      <c r="I149" s="63"/>
      <c r="J149" s="64"/>
      <c r="K149" s="64"/>
      <c r="L149" s="64"/>
      <c r="M149" s="82"/>
      <c r="P149" s="37"/>
      <c r="Q149" s="37"/>
      <c r="R149" s="37"/>
      <c r="S149" s="37"/>
    </row>
    <row r="150" spans="1:19" s="41" customFormat="1" ht="15" customHeight="1">
      <c r="A150" s="93"/>
      <c r="B150" s="131"/>
      <c r="C150" s="38"/>
      <c r="D150" s="66"/>
      <c r="E150" s="64"/>
      <c r="F150" s="79"/>
      <c r="G150" s="80"/>
      <c r="H150" s="37"/>
      <c r="I150" s="63"/>
      <c r="J150" s="64"/>
      <c r="K150" s="64"/>
      <c r="L150" s="64"/>
      <c r="M150" s="82"/>
      <c r="N150" s="37"/>
      <c r="O150" s="37"/>
    </row>
    <row r="151" spans="1:19" ht="15" customHeight="1">
      <c r="P151" s="41"/>
      <c r="Q151" s="41"/>
      <c r="R151" s="41"/>
      <c r="S151" s="41"/>
    </row>
    <row r="152" spans="1:19" s="22" customFormat="1" ht="15" customHeight="1">
      <c r="A152" s="93"/>
      <c r="B152" s="131"/>
      <c r="C152" s="38"/>
      <c r="D152" s="66"/>
      <c r="E152" s="64"/>
      <c r="F152" s="79"/>
      <c r="G152" s="80"/>
      <c r="H152" s="37"/>
      <c r="I152" s="63"/>
      <c r="J152" s="64"/>
      <c r="K152" s="64"/>
      <c r="L152" s="64"/>
      <c r="M152" s="82"/>
      <c r="N152" s="41"/>
      <c r="O152" s="41"/>
      <c r="P152" s="41"/>
      <c r="Q152" s="41"/>
      <c r="R152" s="41"/>
      <c r="S152" s="41"/>
    </row>
    <row r="153" spans="1:19" s="22" customFormat="1" ht="15" customHeight="1">
      <c r="A153" s="93"/>
      <c r="B153" s="131"/>
      <c r="C153" s="38"/>
      <c r="D153" s="66"/>
      <c r="E153" s="64"/>
      <c r="F153" s="79"/>
      <c r="G153" s="80"/>
      <c r="H153" s="37"/>
      <c r="I153" s="63"/>
      <c r="J153" s="64"/>
      <c r="K153" s="64"/>
      <c r="L153" s="64"/>
      <c r="M153" s="82"/>
      <c r="N153" s="41"/>
      <c r="O153" s="41"/>
      <c r="P153" s="37"/>
      <c r="Q153" s="37"/>
      <c r="R153" s="37"/>
      <c r="S153" s="37"/>
    </row>
    <row r="154" spans="1:19" s="22" customFormat="1" ht="15" customHeight="1">
      <c r="A154" s="93"/>
      <c r="B154" s="131"/>
      <c r="C154" s="38"/>
      <c r="D154" s="66"/>
      <c r="E154" s="64"/>
      <c r="F154" s="79"/>
      <c r="G154" s="80"/>
      <c r="H154" s="37"/>
      <c r="I154" s="63"/>
      <c r="J154" s="64"/>
      <c r="K154" s="64"/>
      <c r="L154" s="64"/>
      <c r="M154" s="82"/>
      <c r="N154" s="41"/>
      <c r="O154" s="41"/>
    </row>
    <row r="155" spans="1:19" s="22" customFormat="1" ht="15" customHeight="1">
      <c r="A155" s="93"/>
      <c r="B155" s="131"/>
      <c r="C155" s="38"/>
      <c r="D155" s="66"/>
      <c r="E155" s="64"/>
      <c r="F155" s="79"/>
      <c r="G155" s="80"/>
      <c r="H155" s="37"/>
      <c r="I155" s="63"/>
      <c r="J155" s="64"/>
      <c r="K155" s="64"/>
      <c r="L155" s="64"/>
      <c r="M155" s="82"/>
      <c r="N155" s="37"/>
      <c r="O155" s="37"/>
    </row>
    <row r="156" spans="1:19" s="22" customFormat="1" ht="15" customHeight="1">
      <c r="A156" s="93"/>
      <c r="B156" s="131"/>
      <c r="C156" s="38"/>
      <c r="D156" s="66"/>
      <c r="E156" s="64"/>
      <c r="F156" s="79"/>
      <c r="G156" s="80"/>
      <c r="H156" s="37"/>
      <c r="I156" s="63"/>
      <c r="J156" s="64"/>
      <c r="K156" s="64"/>
      <c r="L156" s="64"/>
      <c r="M156" s="82"/>
      <c r="N156" s="37"/>
      <c r="O156" s="37"/>
    </row>
    <row r="157" spans="1:19" s="22" customFormat="1" ht="15" customHeight="1">
      <c r="A157" s="93"/>
      <c r="B157" s="131"/>
      <c r="C157" s="38"/>
      <c r="D157" s="66"/>
      <c r="E157" s="64"/>
      <c r="F157" s="79"/>
      <c r="G157" s="80"/>
      <c r="H157" s="37"/>
      <c r="I157" s="63"/>
      <c r="J157" s="64"/>
      <c r="K157" s="64"/>
      <c r="L157" s="64"/>
      <c r="M157" s="82"/>
      <c r="N157" s="41"/>
      <c r="O157" s="41"/>
    </row>
    <row r="158" spans="1:19" s="22" customFormat="1" ht="15" customHeight="1">
      <c r="A158" s="93"/>
      <c r="B158" s="131"/>
      <c r="C158" s="38"/>
      <c r="D158" s="66"/>
      <c r="E158" s="64"/>
      <c r="F158" s="79"/>
      <c r="G158" s="80"/>
      <c r="H158" s="37"/>
      <c r="I158" s="63"/>
      <c r="J158" s="64"/>
      <c r="K158" s="64"/>
      <c r="L158" s="64"/>
      <c r="M158" s="82"/>
      <c r="N158" s="41"/>
      <c r="O158" s="41"/>
    </row>
    <row r="159" spans="1:19" s="22" customFormat="1" ht="15" customHeight="1">
      <c r="A159" s="93"/>
      <c r="B159" s="131"/>
      <c r="C159" s="38"/>
      <c r="D159" s="66"/>
      <c r="E159" s="64"/>
      <c r="F159" s="79"/>
      <c r="G159" s="80"/>
      <c r="H159" s="37"/>
      <c r="I159" s="63"/>
      <c r="J159" s="64"/>
      <c r="K159" s="64"/>
      <c r="L159" s="64"/>
      <c r="M159" s="82"/>
      <c r="N159" s="41"/>
      <c r="O159" s="41"/>
    </row>
    <row r="160" spans="1:19" s="22" customFormat="1" ht="15" customHeight="1">
      <c r="A160" s="93"/>
      <c r="B160" s="131"/>
      <c r="C160" s="38"/>
      <c r="D160" s="66"/>
      <c r="E160" s="64"/>
      <c r="F160" s="79"/>
      <c r="G160" s="80"/>
      <c r="H160" s="37"/>
      <c r="I160" s="63"/>
      <c r="J160" s="64"/>
      <c r="K160" s="64"/>
      <c r="L160" s="64"/>
      <c r="M160" s="82"/>
      <c r="N160" s="37"/>
      <c r="O160" s="37"/>
    </row>
    <row r="161" spans="1:19" s="22" customFormat="1" ht="15" customHeight="1">
      <c r="A161" s="93"/>
      <c r="B161" s="131"/>
      <c r="C161" s="38"/>
      <c r="D161" s="66"/>
      <c r="E161" s="64"/>
      <c r="F161" s="79"/>
      <c r="G161" s="80"/>
      <c r="H161" s="37"/>
      <c r="I161" s="63"/>
      <c r="J161" s="64"/>
      <c r="K161" s="64"/>
      <c r="L161" s="64"/>
      <c r="M161" s="82"/>
    </row>
    <row r="162" spans="1:19" s="22" customFormat="1" ht="15" customHeight="1">
      <c r="A162" s="93"/>
      <c r="B162" s="131"/>
      <c r="C162" s="38"/>
      <c r="D162" s="66"/>
      <c r="E162" s="64"/>
      <c r="F162" s="79"/>
      <c r="G162" s="80"/>
      <c r="H162" s="37"/>
      <c r="I162" s="63"/>
      <c r="J162" s="64"/>
      <c r="K162" s="64"/>
      <c r="L162" s="64"/>
      <c r="M162" s="82"/>
    </row>
    <row r="163" spans="1:19" s="22" customFormat="1" ht="15" customHeight="1">
      <c r="A163" s="93"/>
      <c r="B163" s="131"/>
      <c r="C163" s="38"/>
      <c r="D163" s="66"/>
      <c r="E163" s="64"/>
      <c r="F163" s="79"/>
      <c r="G163" s="80"/>
      <c r="H163" s="37"/>
      <c r="I163" s="63"/>
      <c r="J163" s="64"/>
      <c r="K163" s="64"/>
      <c r="L163" s="64"/>
      <c r="M163" s="82"/>
      <c r="N163" s="37"/>
      <c r="O163" s="37"/>
    </row>
    <row r="164" spans="1:19" s="22" customFormat="1" ht="15" customHeight="1">
      <c r="A164" s="93"/>
      <c r="B164" s="131"/>
      <c r="C164" s="38"/>
      <c r="D164" s="66"/>
      <c r="E164" s="64"/>
      <c r="F164" s="79"/>
      <c r="G164" s="80"/>
      <c r="H164" s="37"/>
      <c r="I164" s="63"/>
      <c r="J164" s="64"/>
      <c r="K164" s="64"/>
      <c r="L164" s="64"/>
      <c r="M164" s="82"/>
      <c r="N164" s="41"/>
      <c r="O164" s="41"/>
    </row>
    <row r="165" spans="1:19" s="22" customFormat="1" ht="15" customHeight="1">
      <c r="A165" s="93"/>
      <c r="B165" s="131"/>
      <c r="C165" s="38"/>
      <c r="D165" s="66"/>
      <c r="E165" s="64"/>
      <c r="F165" s="79"/>
      <c r="G165" s="80"/>
      <c r="H165" s="37"/>
      <c r="I165" s="63"/>
      <c r="J165" s="64"/>
      <c r="K165" s="64"/>
      <c r="L165" s="64"/>
      <c r="M165" s="82"/>
      <c r="N165" s="41"/>
      <c r="O165" s="41"/>
    </row>
    <row r="166" spans="1:19" s="22" customFormat="1" ht="15" customHeight="1">
      <c r="A166" s="93"/>
      <c r="B166" s="131"/>
      <c r="C166" s="38"/>
      <c r="D166" s="66"/>
      <c r="E166" s="64"/>
      <c r="F166" s="79"/>
      <c r="G166" s="80"/>
      <c r="H166" s="37"/>
      <c r="I166" s="63"/>
      <c r="J166" s="64"/>
      <c r="K166" s="64"/>
      <c r="L166" s="64"/>
      <c r="M166" s="82"/>
      <c r="N166" s="41"/>
      <c r="O166" s="41"/>
    </row>
    <row r="167" spans="1:19" s="22" customFormat="1" ht="15" customHeight="1">
      <c r="A167" s="93"/>
      <c r="B167" s="131"/>
      <c r="C167" s="38"/>
      <c r="D167" s="66"/>
      <c r="E167" s="64"/>
      <c r="F167" s="79"/>
      <c r="G167" s="80"/>
      <c r="H167" s="37"/>
      <c r="I167" s="63"/>
      <c r="J167" s="64"/>
      <c r="K167" s="64"/>
      <c r="L167" s="64"/>
      <c r="M167" s="82"/>
      <c r="N167" s="37"/>
      <c r="O167" s="37"/>
    </row>
    <row r="168" spans="1:19" s="22" customFormat="1" ht="15" customHeight="1">
      <c r="A168" s="93"/>
      <c r="B168" s="131"/>
      <c r="C168" s="38"/>
      <c r="D168" s="66"/>
      <c r="E168" s="64"/>
      <c r="F168" s="79"/>
      <c r="G168" s="80"/>
      <c r="H168" s="37"/>
      <c r="I168" s="63"/>
      <c r="J168" s="64"/>
      <c r="K168" s="64"/>
      <c r="L168" s="64"/>
      <c r="M168" s="82"/>
      <c r="N168" s="37"/>
      <c r="O168" s="37"/>
    </row>
    <row r="169" spans="1:19" ht="15" customHeight="1">
      <c r="N169" s="41"/>
      <c r="O169" s="41"/>
      <c r="P169" s="22"/>
      <c r="Q169" s="22"/>
      <c r="R169" s="22"/>
      <c r="S169" s="22"/>
    </row>
    <row r="170" spans="1:19" s="41" customFormat="1" ht="15" customHeight="1">
      <c r="A170" s="93"/>
      <c r="B170" s="131"/>
      <c r="C170" s="38"/>
      <c r="D170" s="66"/>
      <c r="E170" s="64"/>
      <c r="F170" s="79"/>
      <c r="G170" s="80"/>
      <c r="H170" s="37"/>
      <c r="I170" s="63"/>
      <c r="J170" s="64"/>
      <c r="K170" s="64"/>
      <c r="L170" s="64"/>
      <c r="M170" s="82"/>
      <c r="P170" s="22"/>
      <c r="Q170" s="22"/>
      <c r="R170" s="22"/>
      <c r="S170" s="22"/>
    </row>
    <row r="171" spans="1:19" s="41" customFormat="1" ht="15" customHeight="1">
      <c r="A171" s="93"/>
      <c r="B171" s="131"/>
      <c r="C171" s="38"/>
      <c r="D171" s="66"/>
      <c r="E171" s="64"/>
      <c r="F171" s="79"/>
      <c r="G171" s="80"/>
      <c r="H171" s="37"/>
      <c r="I171" s="63"/>
      <c r="J171" s="64"/>
      <c r="K171" s="64"/>
      <c r="L171" s="64"/>
      <c r="M171" s="82"/>
      <c r="P171" s="37"/>
      <c r="Q171" s="37"/>
      <c r="R171" s="37"/>
      <c r="S171" s="37"/>
    </row>
    <row r="172" spans="1:19" s="41" customFormat="1" ht="15" customHeight="1">
      <c r="A172" s="93"/>
      <c r="B172" s="131"/>
      <c r="C172" s="38"/>
      <c r="D172" s="66"/>
      <c r="E172" s="64"/>
      <c r="F172" s="79"/>
      <c r="G172" s="80"/>
      <c r="H172" s="37"/>
      <c r="I172" s="63"/>
      <c r="J172" s="64"/>
      <c r="K172" s="64"/>
      <c r="L172" s="64"/>
      <c r="M172" s="82"/>
      <c r="N172" s="37"/>
      <c r="O172" s="37"/>
    </row>
    <row r="173" spans="1:19" ht="15" customHeight="1">
      <c r="N173" s="22"/>
      <c r="O173" s="22"/>
      <c r="P173" s="41"/>
      <c r="Q173" s="41"/>
      <c r="R173" s="41"/>
      <c r="S173" s="41"/>
    </row>
    <row r="174" spans="1:19" ht="15" customHeight="1">
      <c r="N174" s="22"/>
      <c r="O174" s="22"/>
      <c r="P174" s="41"/>
      <c r="Q174" s="41"/>
      <c r="R174" s="41"/>
      <c r="S174" s="41"/>
    </row>
    <row r="175" spans="1:19" s="41" customFormat="1" ht="15" customHeight="1">
      <c r="A175" s="93"/>
      <c r="B175" s="131"/>
      <c r="C175" s="38"/>
      <c r="D175" s="66"/>
      <c r="E175" s="64"/>
      <c r="F175" s="79"/>
      <c r="G175" s="80"/>
      <c r="H175" s="37"/>
      <c r="I175" s="63"/>
      <c r="J175" s="64"/>
      <c r="K175" s="64"/>
      <c r="L175" s="64"/>
      <c r="M175" s="82"/>
      <c r="N175" s="22"/>
      <c r="O175" s="22"/>
      <c r="P175" s="37"/>
      <c r="Q175" s="37"/>
      <c r="R175" s="37"/>
      <c r="S175" s="37"/>
    </row>
    <row r="176" spans="1:19" s="41" customFormat="1" ht="15" customHeight="1">
      <c r="A176" s="93"/>
      <c r="B176" s="131"/>
      <c r="C176" s="38"/>
      <c r="D176" s="66"/>
      <c r="E176" s="64"/>
      <c r="F176" s="79"/>
      <c r="G176" s="80"/>
      <c r="H176" s="37"/>
      <c r="I176" s="63"/>
      <c r="J176" s="64"/>
      <c r="K176" s="64"/>
      <c r="L176" s="64"/>
      <c r="M176" s="82"/>
      <c r="N176" s="22"/>
      <c r="O176" s="22"/>
      <c r="P176" s="37"/>
      <c r="Q176" s="37"/>
      <c r="R176" s="37"/>
      <c r="S176" s="37"/>
    </row>
    <row r="177" spans="1:19" s="41" customFormat="1" ht="15" customHeight="1">
      <c r="A177" s="93"/>
      <c r="B177" s="131"/>
      <c r="C177" s="38"/>
      <c r="D177" s="66"/>
      <c r="E177" s="64"/>
      <c r="F177" s="79"/>
      <c r="G177" s="80"/>
      <c r="H177" s="37"/>
      <c r="I177" s="63"/>
      <c r="J177" s="64"/>
      <c r="K177" s="64"/>
      <c r="L177" s="64"/>
      <c r="M177" s="82"/>
      <c r="N177" s="22"/>
      <c r="O177" s="22"/>
    </row>
    <row r="178" spans="1:19" ht="15" customHeight="1">
      <c r="N178" s="22"/>
      <c r="O178" s="22"/>
      <c r="P178" s="41"/>
      <c r="Q178" s="41"/>
      <c r="R178" s="41"/>
      <c r="S178" s="41"/>
    </row>
    <row r="179" spans="1:19" s="22" customFormat="1" ht="15" customHeight="1">
      <c r="A179" s="93"/>
      <c r="B179" s="131"/>
      <c r="C179" s="38"/>
      <c r="D179" s="66"/>
      <c r="E179" s="64"/>
      <c r="F179" s="79"/>
      <c r="G179" s="80"/>
      <c r="H179" s="37"/>
      <c r="I179" s="63"/>
      <c r="J179" s="64"/>
      <c r="K179" s="64"/>
      <c r="L179" s="64"/>
      <c r="M179" s="82"/>
      <c r="P179" s="41"/>
      <c r="Q179" s="41"/>
      <c r="R179" s="41"/>
      <c r="S179" s="41"/>
    </row>
    <row r="180" spans="1:19" s="22" customFormat="1" ht="15" customHeight="1">
      <c r="A180" s="93"/>
      <c r="B180" s="131"/>
      <c r="C180" s="38"/>
      <c r="D180" s="66"/>
      <c r="E180" s="64"/>
      <c r="F180" s="79"/>
      <c r="G180" s="80"/>
      <c r="H180" s="37"/>
      <c r="I180" s="63"/>
      <c r="J180" s="64"/>
      <c r="K180" s="64"/>
      <c r="L180" s="64"/>
      <c r="M180" s="82"/>
      <c r="P180" s="37"/>
      <c r="Q180" s="37"/>
      <c r="R180" s="37"/>
      <c r="S180" s="37"/>
    </row>
    <row r="181" spans="1:19" s="22" customFormat="1" ht="15" customHeight="1">
      <c r="A181" s="93"/>
      <c r="B181" s="131"/>
      <c r="C181" s="38"/>
      <c r="D181" s="66"/>
      <c r="E181" s="64"/>
      <c r="F181" s="79"/>
      <c r="G181" s="80"/>
      <c r="H181" s="37"/>
      <c r="I181" s="63"/>
      <c r="J181" s="64"/>
      <c r="K181" s="64"/>
      <c r="L181" s="64"/>
      <c r="M181" s="82"/>
    </row>
    <row r="182" spans="1:19" s="22" customFormat="1" ht="15" customHeight="1">
      <c r="A182" s="93"/>
      <c r="B182" s="131"/>
      <c r="C182" s="38"/>
      <c r="D182" s="66"/>
      <c r="E182" s="64"/>
      <c r="F182" s="79"/>
      <c r="G182" s="80"/>
      <c r="H182" s="37"/>
      <c r="I182" s="63"/>
      <c r="J182" s="64"/>
      <c r="K182" s="64"/>
      <c r="L182" s="64"/>
      <c r="M182" s="82"/>
    </row>
    <row r="183" spans="1:19" s="22" customFormat="1" ht="15" customHeight="1">
      <c r="A183" s="93"/>
      <c r="B183" s="131"/>
      <c r="C183" s="38"/>
      <c r="D183" s="66"/>
      <c r="E183" s="64"/>
      <c r="F183" s="79"/>
      <c r="G183" s="80"/>
      <c r="H183" s="37"/>
      <c r="I183" s="63"/>
      <c r="J183" s="64"/>
      <c r="K183" s="64"/>
      <c r="L183" s="64"/>
      <c r="M183" s="82"/>
    </row>
    <row r="184" spans="1:19" s="22" customFormat="1" ht="15" customHeight="1">
      <c r="A184" s="93"/>
      <c r="B184" s="131"/>
      <c r="C184" s="38"/>
      <c r="D184" s="66"/>
      <c r="E184" s="64"/>
      <c r="F184" s="79"/>
      <c r="G184" s="80"/>
      <c r="H184" s="37"/>
      <c r="I184" s="63"/>
      <c r="J184" s="64"/>
      <c r="K184" s="64"/>
      <c r="L184" s="64"/>
      <c r="M184" s="82"/>
    </row>
    <row r="185" spans="1:19" s="22" customFormat="1" ht="15" customHeight="1">
      <c r="A185" s="93"/>
      <c r="B185" s="131"/>
      <c r="C185" s="38"/>
      <c r="D185" s="66"/>
      <c r="E185" s="64"/>
      <c r="F185" s="79"/>
      <c r="G185" s="80"/>
      <c r="H185" s="37"/>
      <c r="I185" s="63"/>
      <c r="J185" s="64"/>
      <c r="K185" s="64"/>
      <c r="L185" s="64"/>
      <c r="M185" s="82"/>
    </row>
    <row r="186" spans="1:19" s="22" customFormat="1" ht="15" customHeight="1">
      <c r="A186" s="93"/>
      <c r="B186" s="131"/>
      <c r="C186" s="38"/>
      <c r="D186" s="66"/>
      <c r="E186" s="64"/>
      <c r="F186" s="79"/>
      <c r="G186" s="80"/>
      <c r="H186" s="37"/>
      <c r="I186" s="63"/>
      <c r="J186" s="64"/>
      <c r="K186" s="64"/>
      <c r="L186" s="64"/>
      <c r="M186" s="82"/>
    </row>
    <row r="187" spans="1:19" s="22" customFormat="1" ht="15" customHeight="1">
      <c r="A187" s="93"/>
      <c r="B187" s="131"/>
      <c r="C187" s="38"/>
      <c r="D187" s="66"/>
      <c r="E187" s="64"/>
      <c r="F187" s="79"/>
      <c r="G187" s="80"/>
      <c r="H187" s="37"/>
      <c r="I187" s="63"/>
      <c r="J187" s="64"/>
      <c r="K187" s="64"/>
      <c r="L187" s="64"/>
      <c r="M187" s="82"/>
    </row>
    <row r="188" spans="1:19" s="22" customFormat="1" ht="15" customHeight="1">
      <c r="A188" s="93"/>
      <c r="B188" s="131"/>
      <c r="C188" s="38"/>
      <c r="D188" s="66"/>
      <c r="E188" s="64"/>
      <c r="F188" s="79"/>
      <c r="G188" s="80"/>
      <c r="H188" s="37"/>
      <c r="I188" s="63"/>
      <c r="J188" s="64"/>
      <c r="K188" s="64"/>
      <c r="L188" s="64"/>
      <c r="M188" s="82"/>
    </row>
    <row r="189" spans="1:19" s="22" customFormat="1" ht="15" customHeight="1">
      <c r="A189" s="93"/>
      <c r="B189" s="131"/>
      <c r="C189" s="38"/>
      <c r="D189" s="66"/>
      <c r="E189" s="64"/>
      <c r="F189" s="79"/>
      <c r="G189" s="80"/>
      <c r="H189" s="37"/>
      <c r="I189" s="63"/>
      <c r="J189" s="64"/>
      <c r="K189" s="64"/>
      <c r="L189" s="64"/>
      <c r="M189" s="82"/>
    </row>
    <row r="190" spans="1:19" s="22" customFormat="1" ht="15" customHeight="1">
      <c r="A190" s="93"/>
      <c r="B190" s="131"/>
      <c r="C190" s="38"/>
      <c r="D190" s="66"/>
      <c r="E190" s="64"/>
      <c r="F190" s="79"/>
      <c r="G190" s="80"/>
      <c r="H190" s="37"/>
      <c r="I190" s="63"/>
      <c r="J190" s="64"/>
      <c r="K190" s="64"/>
      <c r="L190" s="64"/>
      <c r="M190" s="82"/>
      <c r="N190" s="37"/>
      <c r="O190" s="37"/>
    </row>
    <row r="191" spans="1:19" s="22" customFormat="1" ht="15" customHeight="1">
      <c r="A191" s="93"/>
      <c r="B191" s="131"/>
      <c r="C191" s="38"/>
      <c r="D191" s="66"/>
      <c r="E191" s="64"/>
      <c r="F191" s="79"/>
      <c r="G191" s="80"/>
      <c r="H191" s="37"/>
      <c r="I191" s="63"/>
      <c r="J191" s="64"/>
      <c r="K191" s="64"/>
      <c r="L191" s="64"/>
      <c r="M191" s="82"/>
      <c r="N191" s="41"/>
      <c r="O191" s="41"/>
    </row>
    <row r="192" spans="1:19" s="22" customFormat="1" ht="15" customHeight="1">
      <c r="A192" s="93"/>
      <c r="B192" s="131"/>
      <c r="C192" s="38"/>
      <c r="D192" s="66"/>
      <c r="E192" s="64"/>
      <c r="F192" s="79"/>
      <c r="G192" s="80"/>
      <c r="H192" s="37"/>
      <c r="I192" s="63"/>
      <c r="J192" s="64"/>
      <c r="K192" s="64"/>
      <c r="L192" s="64"/>
      <c r="M192" s="82"/>
      <c r="N192" s="41"/>
      <c r="O192" s="41"/>
    </row>
    <row r="193" spans="1:15" s="22" customFormat="1" ht="15" customHeight="1">
      <c r="A193" s="93"/>
      <c r="B193" s="131"/>
      <c r="C193" s="38"/>
      <c r="D193" s="66"/>
      <c r="E193" s="64"/>
      <c r="F193" s="79"/>
      <c r="G193" s="80"/>
      <c r="H193" s="37"/>
      <c r="I193" s="63"/>
      <c r="J193" s="64"/>
      <c r="K193" s="64"/>
      <c r="L193" s="64"/>
      <c r="M193" s="82"/>
      <c r="N193" s="41"/>
      <c r="O193" s="41"/>
    </row>
    <row r="194" spans="1:15" s="22" customFormat="1" ht="15" customHeight="1">
      <c r="A194" s="93"/>
      <c r="B194" s="131"/>
      <c r="C194" s="38"/>
      <c r="D194" s="66"/>
      <c r="E194" s="64"/>
      <c r="F194" s="79"/>
      <c r="G194" s="80"/>
      <c r="H194" s="37"/>
      <c r="I194" s="63"/>
      <c r="J194" s="64"/>
      <c r="K194" s="64"/>
      <c r="L194" s="64"/>
      <c r="M194" s="82"/>
      <c r="N194" s="37"/>
      <c r="O194" s="37"/>
    </row>
    <row r="195" spans="1:15" s="22" customFormat="1" ht="15" customHeight="1">
      <c r="A195" s="93"/>
      <c r="B195" s="131"/>
      <c r="C195" s="38"/>
      <c r="D195" s="66"/>
      <c r="E195" s="64"/>
      <c r="F195" s="79"/>
      <c r="G195" s="80"/>
      <c r="H195" s="37"/>
      <c r="I195" s="63"/>
      <c r="J195" s="64"/>
      <c r="K195" s="64"/>
      <c r="L195" s="64"/>
      <c r="M195" s="82"/>
      <c r="N195" s="37"/>
      <c r="O195" s="37"/>
    </row>
    <row r="196" spans="1:15" s="22" customFormat="1" ht="15" customHeight="1">
      <c r="A196" s="93"/>
      <c r="B196" s="131"/>
      <c r="C196" s="38"/>
      <c r="D196" s="66"/>
      <c r="E196" s="64"/>
      <c r="F196" s="79"/>
      <c r="G196" s="80"/>
      <c r="H196" s="37"/>
      <c r="I196" s="63"/>
      <c r="J196" s="64"/>
      <c r="K196" s="64"/>
      <c r="L196" s="64"/>
      <c r="M196" s="82"/>
      <c r="N196" s="41"/>
      <c r="O196" s="41"/>
    </row>
    <row r="197" spans="1:15" s="22" customFormat="1" ht="15" customHeight="1">
      <c r="A197" s="93"/>
      <c r="B197" s="131"/>
      <c r="C197" s="38"/>
      <c r="D197" s="66"/>
      <c r="E197" s="64"/>
      <c r="F197" s="79"/>
      <c r="G197" s="80"/>
      <c r="H197" s="37"/>
      <c r="I197" s="63"/>
      <c r="J197" s="64"/>
      <c r="K197" s="64"/>
      <c r="L197" s="64"/>
      <c r="M197" s="82"/>
      <c r="N197" s="41"/>
      <c r="O197" s="41"/>
    </row>
    <row r="198" spans="1:15" s="22" customFormat="1" ht="15" customHeight="1">
      <c r="A198" s="93"/>
      <c r="B198" s="131"/>
      <c r="C198" s="38"/>
      <c r="D198" s="66"/>
      <c r="E198" s="64"/>
      <c r="F198" s="79"/>
      <c r="G198" s="80"/>
      <c r="H198" s="37"/>
      <c r="I198" s="63"/>
      <c r="J198" s="64"/>
      <c r="K198" s="64"/>
      <c r="L198" s="64"/>
      <c r="M198" s="82"/>
      <c r="N198" s="41"/>
      <c r="O198" s="41"/>
    </row>
    <row r="199" spans="1:15" s="22" customFormat="1" ht="15" customHeight="1">
      <c r="A199" s="93"/>
      <c r="B199" s="131"/>
      <c r="C199" s="38"/>
      <c r="D199" s="66"/>
      <c r="E199" s="64"/>
      <c r="F199" s="79"/>
      <c r="G199" s="80"/>
      <c r="H199" s="37"/>
      <c r="I199" s="63"/>
      <c r="J199" s="64"/>
      <c r="K199" s="64"/>
      <c r="L199" s="64"/>
      <c r="M199" s="82"/>
      <c r="N199" s="37"/>
      <c r="O199" s="37"/>
    </row>
    <row r="200" spans="1:15" s="22" customFormat="1" ht="15" customHeight="1">
      <c r="A200" s="93"/>
      <c r="B200" s="131"/>
      <c r="C200" s="38"/>
      <c r="D200" s="66"/>
      <c r="E200" s="64"/>
      <c r="F200" s="79"/>
      <c r="G200" s="80"/>
      <c r="H200" s="37"/>
      <c r="I200" s="63"/>
      <c r="J200" s="64"/>
      <c r="K200" s="64"/>
      <c r="L200" s="64"/>
      <c r="M200" s="82"/>
    </row>
    <row r="201" spans="1:15" s="22" customFormat="1" ht="15" customHeight="1">
      <c r="A201" s="93"/>
      <c r="B201" s="131"/>
      <c r="C201" s="38"/>
      <c r="D201" s="66"/>
      <c r="E201" s="64"/>
      <c r="F201" s="79"/>
      <c r="G201" s="80"/>
      <c r="H201" s="37"/>
      <c r="I201" s="63"/>
      <c r="J201" s="64"/>
      <c r="K201" s="64"/>
      <c r="L201" s="64"/>
      <c r="M201" s="82"/>
    </row>
    <row r="202" spans="1:15" s="22" customFormat="1" ht="15" customHeight="1">
      <c r="A202" s="93"/>
      <c r="B202" s="131"/>
      <c r="C202" s="38"/>
      <c r="D202" s="66"/>
      <c r="E202" s="64"/>
      <c r="F202" s="79"/>
      <c r="G202" s="80"/>
      <c r="H202" s="37"/>
      <c r="I202" s="63"/>
      <c r="J202" s="64"/>
      <c r="K202" s="64"/>
      <c r="L202" s="64"/>
      <c r="M202" s="82"/>
    </row>
    <row r="203" spans="1:15" s="22" customFormat="1" ht="15" customHeight="1">
      <c r="A203" s="93"/>
      <c r="B203" s="131"/>
      <c r="C203" s="38"/>
      <c r="D203" s="66"/>
      <c r="E203" s="64"/>
      <c r="F203" s="79"/>
      <c r="G203" s="80"/>
      <c r="H203" s="37"/>
      <c r="I203" s="63"/>
      <c r="J203" s="64"/>
      <c r="K203" s="64"/>
      <c r="L203" s="64"/>
      <c r="M203" s="82"/>
    </row>
    <row r="204" spans="1:15" s="22" customFormat="1" ht="15" customHeight="1">
      <c r="A204" s="93"/>
      <c r="B204" s="131"/>
      <c r="C204" s="38"/>
      <c r="D204" s="66"/>
      <c r="E204" s="64"/>
      <c r="F204" s="79"/>
      <c r="G204" s="80"/>
      <c r="H204" s="37"/>
      <c r="I204" s="63"/>
      <c r="J204" s="64"/>
      <c r="K204" s="64"/>
      <c r="L204" s="64"/>
      <c r="M204" s="82"/>
    </row>
    <row r="205" spans="1:15" s="22" customFormat="1" ht="15" customHeight="1">
      <c r="A205" s="93"/>
      <c r="B205" s="131"/>
      <c r="C205" s="38"/>
      <c r="D205" s="66"/>
      <c r="E205" s="64"/>
      <c r="F205" s="79"/>
      <c r="G205" s="80"/>
      <c r="H205" s="37"/>
      <c r="I205" s="63"/>
      <c r="J205" s="64"/>
      <c r="K205" s="64"/>
      <c r="L205" s="64"/>
      <c r="M205" s="82"/>
    </row>
    <row r="206" spans="1:15" s="22" customFormat="1" ht="15" customHeight="1">
      <c r="A206" s="93"/>
      <c r="B206" s="131"/>
      <c r="C206" s="38"/>
      <c r="D206" s="66"/>
      <c r="E206" s="64"/>
      <c r="F206" s="79"/>
      <c r="G206" s="80"/>
      <c r="H206" s="37"/>
      <c r="I206" s="63"/>
      <c r="J206" s="64"/>
      <c r="K206" s="64"/>
      <c r="L206" s="64"/>
      <c r="M206" s="82"/>
    </row>
    <row r="207" spans="1:15" s="22" customFormat="1" ht="15" customHeight="1">
      <c r="A207" s="93"/>
      <c r="B207" s="131"/>
      <c r="C207" s="38"/>
      <c r="D207" s="66"/>
      <c r="E207" s="64"/>
      <c r="F207" s="79"/>
      <c r="G207" s="80"/>
      <c r="H207" s="37"/>
      <c r="I207" s="63"/>
      <c r="J207" s="64"/>
      <c r="K207" s="64"/>
      <c r="L207" s="64"/>
      <c r="M207" s="82"/>
    </row>
    <row r="208" spans="1:15" s="22" customFormat="1" ht="15" customHeight="1">
      <c r="A208" s="93"/>
      <c r="B208" s="131"/>
      <c r="C208" s="38"/>
      <c r="D208" s="66"/>
      <c r="E208" s="64"/>
      <c r="F208" s="79"/>
      <c r="G208" s="80"/>
      <c r="H208" s="37"/>
      <c r="I208" s="63"/>
      <c r="J208" s="64"/>
      <c r="K208" s="64"/>
      <c r="L208" s="64"/>
      <c r="M208" s="82"/>
    </row>
    <row r="209" spans="1:13" s="22" customFormat="1" ht="15" customHeight="1">
      <c r="A209" s="93"/>
      <c r="B209" s="131"/>
      <c r="C209" s="38"/>
      <c r="D209" s="66"/>
      <c r="E209" s="64"/>
      <c r="F209" s="79"/>
      <c r="G209" s="80"/>
      <c r="H209" s="37"/>
      <c r="I209" s="63"/>
      <c r="J209" s="64"/>
      <c r="K209" s="64"/>
      <c r="L209" s="64"/>
      <c r="M209" s="82"/>
    </row>
    <row r="210" spans="1:13" s="22" customFormat="1" ht="15" customHeight="1">
      <c r="A210" s="93"/>
      <c r="B210" s="131"/>
      <c r="C210" s="38"/>
      <c r="D210" s="66"/>
      <c r="E210" s="64"/>
      <c r="F210" s="79"/>
      <c r="G210" s="80"/>
      <c r="H210" s="37"/>
      <c r="I210" s="63"/>
      <c r="J210" s="64"/>
      <c r="K210" s="64"/>
      <c r="L210" s="64"/>
      <c r="M210" s="82"/>
    </row>
    <row r="211" spans="1:13" s="22" customFormat="1" ht="15" customHeight="1">
      <c r="A211" s="93"/>
      <c r="B211" s="131"/>
      <c r="C211" s="38"/>
      <c r="D211" s="66"/>
      <c r="E211" s="64"/>
      <c r="F211" s="79"/>
      <c r="G211" s="80"/>
      <c r="H211" s="37"/>
      <c r="I211" s="63"/>
      <c r="J211" s="64"/>
      <c r="K211" s="64"/>
      <c r="L211" s="64"/>
      <c r="M211" s="82"/>
    </row>
    <row r="212" spans="1:13" s="22" customFormat="1" ht="15" customHeight="1">
      <c r="A212" s="93"/>
      <c r="B212" s="131"/>
      <c r="C212" s="38"/>
      <c r="D212" s="66"/>
      <c r="E212" s="64"/>
      <c r="F212" s="79"/>
      <c r="G212" s="80"/>
      <c r="H212" s="37"/>
      <c r="I212" s="63"/>
      <c r="J212" s="64"/>
      <c r="K212" s="64"/>
      <c r="L212" s="64"/>
      <c r="M212" s="82"/>
    </row>
    <row r="213" spans="1:13" s="22" customFormat="1" ht="15" customHeight="1">
      <c r="A213" s="93"/>
      <c r="B213" s="131"/>
      <c r="C213" s="38"/>
      <c r="D213" s="66"/>
      <c r="E213" s="64"/>
      <c r="F213" s="79"/>
      <c r="G213" s="80"/>
      <c r="H213" s="37"/>
      <c r="I213" s="63"/>
      <c r="J213" s="64"/>
      <c r="K213" s="64"/>
      <c r="L213" s="64"/>
      <c r="M213" s="82"/>
    </row>
    <row r="214" spans="1:13" s="22" customFormat="1" ht="15" customHeight="1">
      <c r="A214" s="93"/>
      <c r="B214" s="131"/>
      <c r="C214" s="38"/>
      <c r="D214" s="66"/>
      <c r="E214" s="64"/>
      <c r="F214" s="79"/>
      <c r="G214" s="80"/>
      <c r="H214" s="37"/>
      <c r="I214" s="63"/>
      <c r="J214" s="64"/>
      <c r="K214" s="64"/>
      <c r="L214" s="64"/>
      <c r="M214" s="82"/>
    </row>
    <row r="215" spans="1:13" s="22" customFormat="1" ht="15" customHeight="1">
      <c r="A215" s="93"/>
      <c r="B215" s="131"/>
      <c r="C215" s="38"/>
      <c r="D215" s="66"/>
      <c r="E215" s="64"/>
      <c r="F215" s="79"/>
      <c r="G215" s="80"/>
      <c r="H215" s="37"/>
      <c r="I215" s="63"/>
      <c r="J215" s="64"/>
      <c r="K215" s="64"/>
      <c r="L215" s="64"/>
      <c r="M215" s="82"/>
    </row>
    <row r="216" spans="1:13" s="22" customFormat="1" ht="15" customHeight="1">
      <c r="A216" s="93"/>
      <c r="B216" s="131"/>
      <c r="C216" s="38"/>
      <c r="D216" s="66"/>
      <c r="E216" s="64"/>
      <c r="F216" s="79"/>
      <c r="G216" s="80"/>
      <c r="H216" s="37"/>
      <c r="I216" s="63"/>
      <c r="J216" s="64"/>
      <c r="K216" s="64"/>
      <c r="L216" s="64"/>
      <c r="M216" s="82"/>
    </row>
    <row r="217" spans="1:13" s="22" customFormat="1" ht="15" customHeight="1">
      <c r="A217" s="93"/>
      <c r="B217" s="131"/>
      <c r="C217" s="38"/>
      <c r="D217" s="66"/>
      <c r="E217" s="64"/>
      <c r="F217" s="79"/>
      <c r="G217" s="80"/>
      <c r="H217" s="37"/>
      <c r="I217" s="63"/>
      <c r="J217" s="64"/>
      <c r="K217" s="64"/>
      <c r="L217" s="64"/>
      <c r="M217" s="82"/>
    </row>
    <row r="218" spans="1:13" s="22" customFormat="1" ht="15" customHeight="1">
      <c r="A218" s="93"/>
      <c r="B218" s="131"/>
      <c r="C218" s="38"/>
      <c r="D218" s="66"/>
      <c r="E218" s="64"/>
      <c r="F218" s="79"/>
      <c r="G218" s="80"/>
      <c r="H218" s="37"/>
      <c r="I218" s="63"/>
      <c r="J218" s="64"/>
      <c r="K218" s="64"/>
      <c r="L218" s="64"/>
      <c r="M218" s="82"/>
    </row>
    <row r="219" spans="1:13" s="22" customFormat="1" ht="15" customHeight="1">
      <c r="A219" s="93"/>
      <c r="B219" s="131"/>
      <c r="C219" s="38"/>
      <c r="D219" s="66"/>
      <c r="E219" s="64"/>
      <c r="F219" s="79"/>
      <c r="G219" s="80"/>
      <c r="H219" s="37"/>
      <c r="I219" s="63"/>
      <c r="J219" s="64"/>
      <c r="K219" s="64"/>
      <c r="L219" s="64"/>
      <c r="M219" s="82"/>
    </row>
    <row r="220" spans="1:13" s="22" customFormat="1" ht="15" customHeight="1">
      <c r="A220" s="93"/>
      <c r="B220" s="131"/>
      <c r="C220" s="38"/>
      <c r="D220" s="66"/>
      <c r="E220" s="64"/>
      <c r="F220" s="79"/>
      <c r="G220" s="80"/>
      <c r="H220" s="37"/>
      <c r="I220" s="63"/>
      <c r="J220" s="64"/>
      <c r="K220" s="64"/>
      <c r="L220" s="64"/>
      <c r="M220" s="82"/>
    </row>
    <row r="221" spans="1:13" s="22" customFormat="1" ht="15" customHeight="1">
      <c r="A221" s="93"/>
      <c r="B221" s="131"/>
      <c r="C221" s="38"/>
      <c r="D221" s="66"/>
      <c r="E221" s="64"/>
      <c r="F221" s="79"/>
      <c r="G221" s="80"/>
      <c r="H221" s="37"/>
      <c r="I221" s="63"/>
      <c r="J221" s="64"/>
      <c r="K221" s="64"/>
      <c r="L221" s="64"/>
      <c r="M221" s="82"/>
    </row>
    <row r="222" spans="1:13" s="22" customFormat="1" ht="15" customHeight="1">
      <c r="A222" s="93"/>
      <c r="B222" s="131"/>
      <c r="C222" s="38"/>
      <c r="D222" s="66"/>
      <c r="E222" s="64"/>
      <c r="F222" s="79"/>
      <c r="G222" s="80"/>
      <c r="H222" s="37"/>
      <c r="I222" s="63"/>
      <c r="J222" s="64"/>
      <c r="K222" s="64"/>
      <c r="L222" s="64"/>
      <c r="M222" s="82"/>
    </row>
    <row r="223" spans="1:13" s="22" customFormat="1" ht="15" customHeight="1">
      <c r="A223" s="93"/>
      <c r="B223" s="131"/>
      <c r="C223" s="38"/>
      <c r="D223" s="66"/>
      <c r="E223" s="64"/>
      <c r="F223" s="79"/>
      <c r="G223" s="80"/>
      <c r="H223" s="37"/>
      <c r="I223" s="63"/>
      <c r="J223" s="64"/>
      <c r="K223" s="64"/>
      <c r="L223" s="64"/>
      <c r="M223" s="82"/>
    </row>
    <row r="224" spans="1:13" s="22" customFormat="1" ht="15" customHeight="1">
      <c r="A224" s="93"/>
      <c r="B224" s="131"/>
      <c r="C224" s="38"/>
      <c r="D224" s="66"/>
      <c r="E224" s="64"/>
      <c r="F224" s="79"/>
      <c r="G224" s="80"/>
      <c r="H224" s="37"/>
      <c r="I224" s="63"/>
      <c r="J224" s="64"/>
      <c r="K224" s="64"/>
      <c r="L224" s="64"/>
      <c r="M224" s="82"/>
    </row>
    <row r="225" spans="1:13" s="22" customFormat="1" ht="15" customHeight="1">
      <c r="A225" s="93"/>
      <c r="B225" s="131"/>
      <c r="C225" s="38"/>
      <c r="D225" s="66"/>
      <c r="E225" s="64"/>
      <c r="F225" s="79"/>
      <c r="G225" s="80"/>
      <c r="H225" s="37"/>
      <c r="I225" s="63"/>
      <c r="J225" s="64"/>
      <c r="K225" s="64"/>
      <c r="L225" s="64"/>
      <c r="M225" s="82"/>
    </row>
    <row r="226" spans="1:13" s="22" customFormat="1" ht="15" customHeight="1">
      <c r="A226" s="93"/>
      <c r="B226" s="131"/>
      <c r="C226" s="38"/>
      <c r="D226" s="66"/>
      <c r="E226" s="64"/>
      <c r="F226" s="79"/>
      <c r="G226" s="80"/>
      <c r="H226" s="37"/>
      <c r="I226" s="63"/>
      <c r="J226" s="64"/>
      <c r="K226" s="64"/>
      <c r="L226" s="64"/>
      <c r="M226" s="82"/>
    </row>
    <row r="227" spans="1:13" s="22" customFormat="1" ht="15" customHeight="1">
      <c r="A227" s="93"/>
      <c r="B227" s="131"/>
      <c r="C227" s="38"/>
      <c r="D227" s="66"/>
      <c r="E227" s="64"/>
      <c r="F227" s="79"/>
      <c r="G227" s="80"/>
      <c r="H227" s="37"/>
      <c r="I227" s="63"/>
      <c r="J227" s="64"/>
      <c r="K227" s="64"/>
      <c r="L227" s="64"/>
      <c r="M227" s="82"/>
    </row>
    <row r="228" spans="1:13" s="22" customFormat="1" ht="15" customHeight="1">
      <c r="A228" s="93"/>
      <c r="B228" s="131"/>
      <c r="C228" s="38"/>
      <c r="D228" s="66"/>
      <c r="E228" s="64"/>
      <c r="F228" s="79"/>
      <c r="G228" s="80"/>
      <c r="H228" s="37"/>
      <c r="I228" s="63"/>
      <c r="J228" s="64"/>
      <c r="K228" s="64"/>
      <c r="L228" s="64"/>
      <c r="M228" s="82"/>
    </row>
    <row r="229" spans="1:13" s="22" customFormat="1" ht="15" customHeight="1">
      <c r="A229" s="93"/>
      <c r="B229" s="131"/>
      <c r="C229" s="38"/>
      <c r="D229" s="66"/>
      <c r="E229" s="64"/>
      <c r="F229" s="79"/>
      <c r="G229" s="80"/>
      <c r="H229" s="37"/>
      <c r="I229" s="63"/>
      <c r="J229" s="64"/>
      <c r="K229" s="64"/>
      <c r="L229" s="64"/>
      <c r="M229" s="82"/>
    </row>
    <row r="230" spans="1:13" s="22" customFormat="1" ht="15" customHeight="1">
      <c r="A230" s="93"/>
      <c r="B230" s="131"/>
      <c r="C230" s="38"/>
      <c r="D230" s="66"/>
      <c r="E230" s="64"/>
      <c r="F230" s="79"/>
      <c r="G230" s="80"/>
      <c r="H230" s="37"/>
      <c r="I230" s="63"/>
      <c r="J230" s="64"/>
      <c r="K230" s="64"/>
      <c r="L230" s="64"/>
      <c r="M230" s="82"/>
    </row>
    <row r="231" spans="1:13" s="22" customFormat="1" ht="15" customHeight="1">
      <c r="A231" s="93"/>
      <c r="B231" s="131"/>
      <c r="C231" s="38"/>
      <c r="D231" s="66"/>
      <c r="E231" s="64"/>
      <c r="F231" s="79"/>
      <c r="G231" s="80"/>
      <c r="H231" s="37"/>
      <c r="I231" s="63"/>
      <c r="J231" s="64"/>
      <c r="K231" s="64"/>
      <c r="L231" s="64"/>
      <c r="M231" s="82"/>
    </row>
    <row r="232" spans="1:13" s="22" customFormat="1" ht="15" customHeight="1">
      <c r="A232" s="93"/>
      <c r="B232" s="131"/>
      <c r="C232" s="38"/>
      <c r="D232" s="66"/>
      <c r="E232" s="64"/>
      <c r="F232" s="79"/>
      <c r="G232" s="80"/>
      <c r="H232" s="37"/>
      <c r="I232" s="63"/>
      <c r="J232" s="64"/>
      <c r="K232" s="64"/>
      <c r="L232" s="64"/>
      <c r="M232" s="82"/>
    </row>
    <row r="233" spans="1:13" s="22" customFormat="1" ht="15" customHeight="1">
      <c r="A233" s="93"/>
      <c r="B233" s="131"/>
      <c r="C233" s="38"/>
      <c r="D233" s="66"/>
      <c r="E233" s="64"/>
      <c r="F233" s="79"/>
      <c r="G233" s="80"/>
      <c r="H233" s="37"/>
      <c r="I233" s="63"/>
      <c r="J233" s="64"/>
      <c r="K233" s="64"/>
      <c r="L233" s="64"/>
      <c r="M233" s="82"/>
    </row>
    <row r="234" spans="1:13" s="22" customFormat="1" ht="15" customHeight="1">
      <c r="A234" s="93"/>
      <c r="B234" s="131"/>
      <c r="C234" s="38"/>
      <c r="D234" s="66"/>
      <c r="E234" s="64"/>
      <c r="F234" s="79"/>
      <c r="G234" s="80"/>
      <c r="H234" s="37"/>
      <c r="I234" s="63"/>
      <c r="J234" s="64"/>
      <c r="K234" s="64"/>
      <c r="L234" s="64"/>
      <c r="M234" s="82"/>
    </row>
    <row r="235" spans="1:13" s="22" customFormat="1" ht="15" customHeight="1">
      <c r="A235" s="93"/>
      <c r="B235" s="131"/>
      <c r="C235" s="38"/>
      <c r="D235" s="66"/>
      <c r="E235" s="64"/>
      <c r="F235" s="79"/>
      <c r="G235" s="80"/>
      <c r="H235" s="37"/>
      <c r="I235" s="63"/>
      <c r="J235" s="64"/>
      <c r="K235" s="64"/>
      <c r="L235" s="64"/>
      <c r="M235" s="82"/>
    </row>
    <row r="236" spans="1:13" s="22" customFormat="1" ht="15" customHeight="1">
      <c r="A236" s="93"/>
      <c r="B236" s="131"/>
      <c r="C236" s="38"/>
      <c r="D236" s="66"/>
      <c r="E236" s="64"/>
      <c r="F236" s="79"/>
      <c r="G236" s="80"/>
      <c r="H236" s="37"/>
      <c r="I236" s="63"/>
      <c r="J236" s="64"/>
      <c r="K236" s="64"/>
      <c r="L236" s="64"/>
      <c r="M236" s="82"/>
    </row>
    <row r="237" spans="1:13" s="22" customFormat="1" ht="15" customHeight="1">
      <c r="A237" s="93"/>
      <c r="B237" s="131"/>
      <c r="C237" s="38"/>
      <c r="D237" s="66"/>
      <c r="E237" s="64"/>
      <c r="F237" s="79"/>
      <c r="G237" s="80"/>
      <c r="H237" s="37"/>
      <c r="I237" s="63"/>
      <c r="J237" s="64"/>
      <c r="K237" s="64"/>
      <c r="L237" s="64"/>
      <c r="M237" s="82"/>
    </row>
    <row r="238" spans="1:13" s="22" customFormat="1" ht="15" customHeight="1">
      <c r="A238" s="93"/>
      <c r="B238" s="131"/>
      <c r="C238" s="38"/>
      <c r="D238" s="66"/>
      <c r="E238" s="64"/>
      <c r="F238" s="79"/>
      <c r="G238" s="80"/>
      <c r="H238" s="37"/>
      <c r="I238" s="63"/>
      <c r="J238" s="64"/>
      <c r="K238" s="64"/>
      <c r="L238" s="64"/>
      <c r="M238" s="82"/>
    </row>
    <row r="239" spans="1:13" s="22" customFormat="1" ht="15" customHeight="1">
      <c r="A239" s="93"/>
      <c r="B239" s="131"/>
      <c r="C239" s="38"/>
      <c r="D239" s="66"/>
      <c r="E239" s="64"/>
      <c r="F239" s="79"/>
      <c r="G239" s="80"/>
      <c r="H239" s="37"/>
      <c r="I239" s="63"/>
      <c r="J239" s="64"/>
      <c r="K239" s="64"/>
      <c r="L239" s="64"/>
      <c r="M239" s="82"/>
    </row>
    <row r="240" spans="1:13" s="22" customFormat="1" ht="15" customHeight="1">
      <c r="A240" s="93"/>
      <c r="B240" s="131"/>
      <c r="C240" s="38"/>
      <c r="D240" s="66"/>
      <c r="E240" s="64"/>
      <c r="F240" s="79"/>
      <c r="G240" s="80"/>
      <c r="H240" s="37"/>
      <c r="I240" s="63"/>
      <c r="J240" s="64"/>
      <c r="K240" s="64"/>
      <c r="L240" s="64"/>
      <c r="M240" s="82"/>
    </row>
    <row r="241" spans="1:19" s="22" customFormat="1" ht="15" customHeight="1">
      <c r="A241" s="93"/>
      <c r="B241" s="131"/>
      <c r="C241" s="38"/>
      <c r="D241" s="66"/>
      <c r="E241" s="64"/>
      <c r="F241" s="79"/>
      <c r="G241" s="80"/>
      <c r="H241" s="37"/>
      <c r="I241" s="63"/>
      <c r="J241" s="64"/>
      <c r="K241" s="64"/>
      <c r="L241" s="64"/>
      <c r="M241" s="82"/>
    </row>
    <row r="242" spans="1:19" ht="15" customHeight="1">
      <c r="N242" s="22"/>
      <c r="O242" s="22"/>
      <c r="P242" s="22"/>
      <c r="Q242" s="22"/>
      <c r="R242" s="22"/>
      <c r="S242" s="22"/>
    </row>
    <row r="243" spans="1:19" ht="15" customHeight="1">
      <c r="N243" s="22"/>
      <c r="O243" s="22"/>
      <c r="P243" s="22"/>
      <c r="Q243" s="22"/>
      <c r="R243" s="22"/>
      <c r="S243" s="22"/>
    </row>
    <row r="244" spans="1:19" ht="15" customHeight="1">
      <c r="N244" s="22"/>
      <c r="O244" s="22"/>
    </row>
    <row r="245" spans="1:19" ht="15" customHeight="1">
      <c r="N245" s="22"/>
      <c r="O245" s="22"/>
    </row>
    <row r="246" spans="1:19" s="22" customFormat="1" ht="15" customHeight="1">
      <c r="A246" s="93"/>
      <c r="B246" s="131"/>
      <c r="C246" s="38"/>
      <c r="D246" s="66"/>
      <c r="E246" s="64"/>
      <c r="F246" s="79"/>
      <c r="G246" s="80"/>
      <c r="H246" s="37"/>
      <c r="I246" s="63"/>
      <c r="J246" s="64"/>
      <c r="K246" s="64"/>
      <c r="L246" s="64"/>
      <c r="M246" s="82"/>
      <c r="P246" s="37"/>
      <c r="Q246" s="37"/>
      <c r="R246" s="37"/>
      <c r="S246" s="37"/>
    </row>
    <row r="247" spans="1:19" s="22" customFormat="1" ht="15" customHeight="1">
      <c r="A247" s="93"/>
      <c r="B247" s="131"/>
      <c r="C247" s="38"/>
      <c r="D247" s="66"/>
      <c r="E247" s="64"/>
      <c r="F247" s="79"/>
      <c r="G247" s="80"/>
      <c r="H247" s="37"/>
      <c r="I247" s="63"/>
      <c r="J247" s="64"/>
      <c r="K247" s="64"/>
      <c r="L247" s="64"/>
      <c r="M247" s="82"/>
      <c r="P247" s="37"/>
      <c r="Q247" s="37"/>
      <c r="R247" s="37"/>
      <c r="S247" s="37"/>
    </row>
    <row r="248" spans="1:19" s="22" customFormat="1" ht="15" customHeight="1">
      <c r="A248" s="93"/>
      <c r="B248" s="131"/>
      <c r="C248" s="38"/>
      <c r="D248" s="66"/>
      <c r="E248" s="64"/>
      <c r="F248" s="79"/>
      <c r="G248" s="80"/>
      <c r="H248" s="37"/>
      <c r="I248" s="63"/>
      <c r="J248" s="64"/>
      <c r="K248" s="64"/>
      <c r="L248" s="64"/>
      <c r="M248" s="82"/>
    </row>
    <row r="249" spans="1:19" ht="15" customHeight="1">
      <c r="N249" s="22"/>
      <c r="O249" s="22"/>
      <c r="P249" s="22"/>
      <c r="Q249" s="22"/>
      <c r="R249" s="22"/>
      <c r="S249" s="22"/>
    </row>
    <row r="250" spans="1:19" s="22" customFormat="1" ht="15" customHeight="1">
      <c r="A250" s="93"/>
      <c r="B250" s="131"/>
      <c r="C250" s="38"/>
      <c r="D250" s="66"/>
      <c r="E250" s="64"/>
      <c r="F250" s="79"/>
      <c r="G250" s="80"/>
      <c r="H250" s="37"/>
      <c r="I250" s="63"/>
      <c r="J250" s="64"/>
      <c r="K250" s="64"/>
      <c r="L250" s="64"/>
      <c r="M250" s="82"/>
    </row>
    <row r="251" spans="1:19" s="22" customFormat="1" ht="15" customHeight="1">
      <c r="A251" s="93"/>
      <c r="B251" s="131"/>
      <c r="C251" s="38"/>
      <c r="D251" s="66"/>
      <c r="E251" s="64"/>
      <c r="F251" s="79"/>
      <c r="G251" s="80"/>
      <c r="H251" s="37"/>
      <c r="I251" s="63"/>
      <c r="J251" s="64"/>
      <c r="K251" s="64"/>
      <c r="L251" s="64"/>
      <c r="M251" s="82"/>
      <c r="P251" s="37"/>
      <c r="Q251" s="37"/>
      <c r="R251" s="37"/>
      <c r="S251" s="37"/>
    </row>
    <row r="252" spans="1:19" s="22" customFormat="1" ht="15" customHeight="1">
      <c r="A252" s="93"/>
      <c r="B252" s="131"/>
      <c r="C252" s="38"/>
      <c r="D252" s="66"/>
      <c r="E252" s="64"/>
      <c r="F252" s="79"/>
      <c r="G252" s="80"/>
      <c r="H252" s="37"/>
      <c r="I252" s="63"/>
      <c r="J252" s="64"/>
      <c r="K252" s="64"/>
      <c r="L252" s="64"/>
      <c r="M252" s="82"/>
    </row>
    <row r="253" spans="1:19" s="22" customFormat="1" ht="15" customHeight="1">
      <c r="A253" s="93"/>
      <c r="B253" s="131"/>
      <c r="C253" s="38"/>
      <c r="D253" s="66"/>
      <c r="E253" s="64"/>
      <c r="F253" s="79"/>
      <c r="G253" s="80"/>
      <c r="H253" s="37"/>
      <c r="I253" s="63"/>
      <c r="J253" s="64"/>
      <c r="K253" s="64"/>
      <c r="L253" s="64"/>
      <c r="M253" s="82"/>
    </row>
    <row r="254" spans="1:19" s="22" customFormat="1" ht="15" customHeight="1">
      <c r="A254" s="93"/>
      <c r="B254" s="131"/>
      <c r="C254" s="38"/>
      <c r="D254" s="66"/>
      <c r="E254" s="64"/>
      <c r="F254" s="79"/>
      <c r="G254" s="80"/>
      <c r="H254" s="37"/>
      <c r="I254" s="63"/>
      <c r="J254" s="64"/>
      <c r="K254" s="64"/>
      <c r="L254" s="64"/>
      <c r="M254" s="82"/>
    </row>
    <row r="255" spans="1:19" s="22" customFormat="1" ht="15" customHeight="1">
      <c r="A255" s="93"/>
      <c r="B255" s="131"/>
      <c r="C255" s="38"/>
      <c r="D255" s="66"/>
      <c r="E255" s="64"/>
      <c r="F255" s="79"/>
      <c r="G255" s="80"/>
      <c r="H255" s="37"/>
      <c r="I255" s="63"/>
      <c r="J255" s="64"/>
      <c r="K255" s="64"/>
      <c r="L255" s="64"/>
      <c r="M255" s="82"/>
    </row>
    <row r="256" spans="1:19" s="22" customFormat="1" ht="15" customHeight="1">
      <c r="A256" s="93"/>
      <c r="B256" s="131"/>
      <c r="C256" s="38"/>
      <c r="D256" s="66"/>
      <c r="E256" s="64"/>
      <c r="F256" s="79"/>
      <c r="G256" s="80"/>
      <c r="H256" s="37"/>
      <c r="I256" s="63"/>
      <c r="J256" s="64"/>
      <c r="K256" s="64"/>
      <c r="L256" s="64"/>
      <c r="M256" s="82"/>
    </row>
    <row r="257" spans="1:19" s="22" customFormat="1" ht="15" customHeight="1">
      <c r="A257" s="93"/>
      <c r="B257" s="131"/>
      <c r="C257" s="38"/>
      <c r="D257" s="66"/>
      <c r="E257" s="64"/>
      <c r="F257" s="79"/>
      <c r="G257" s="80"/>
      <c r="H257" s="37"/>
      <c r="I257" s="63"/>
      <c r="J257" s="64"/>
      <c r="K257" s="64"/>
      <c r="L257" s="64"/>
      <c r="M257" s="82"/>
    </row>
    <row r="258" spans="1:19" s="22" customFormat="1" ht="15" customHeight="1">
      <c r="A258" s="93"/>
      <c r="B258" s="131"/>
      <c r="C258" s="38"/>
      <c r="D258" s="66"/>
      <c r="E258" s="64"/>
      <c r="F258" s="79"/>
      <c r="G258" s="80"/>
      <c r="H258" s="37"/>
      <c r="I258" s="63"/>
      <c r="J258" s="64"/>
      <c r="K258" s="64"/>
      <c r="L258" s="64"/>
      <c r="M258" s="82"/>
    </row>
    <row r="259" spans="1:19" s="22" customFormat="1" ht="15" customHeight="1">
      <c r="A259" s="93"/>
      <c r="B259" s="131"/>
      <c r="C259" s="38"/>
      <c r="D259" s="66"/>
      <c r="E259" s="64"/>
      <c r="F259" s="79"/>
      <c r="G259" s="80"/>
      <c r="H259" s="37"/>
      <c r="I259" s="63"/>
      <c r="J259" s="64"/>
      <c r="K259" s="64"/>
      <c r="L259" s="64"/>
      <c r="M259" s="82"/>
    </row>
    <row r="260" spans="1:19" s="22" customFormat="1" ht="15" customHeight="1">
      <c r="A260" s="93"/>
      <c r="B260" s="131"/>
      <c r="C260" s="38"/>
      <c r="D260" s="66"/>
      <c r="E260" s="64"/>
      <c r="F260" s="79"/>
      <c r="G260" s="80"/>
      <c r="H260" s="37"/>
      <c r="I260" s="63"/>
      <c r="J260" s="64"/>
      <c r="K260" s="64"/>
      <c r="L260" s="64"/>
      <c r="M260" s="82"/>
    </row>
    <row r="261" spans="1:19" s="22" customFormat="1" ht="15" customHeight="1">
      <c r="A261" s="93"/>
      <c r="B261" s="131"/>
      <c r="C261" s="38"/>
      <c r="D261" s="66"/>
      <c r="E261" s="64"/>
      <c r="F261" s="79"/>
      <c r="G261" s="80"/>
      <c r="H261" s="37"/>
      <c r="I261" s="63"/>
      <c r="J261" s="64"/>
      <c r="K261" s="64"/>
      <c r="L261" s="64"/>
      <c r="M261" s="82"/>
    </row>
    <row r="262" spans="1:19" s="22" customFormat="1" ht="15" customHeight="1">
      <c r="A262" s="93"/>
      <c r="B262" s="131"/>
      <c r="C262" s="38"/>
      <c r="D262" s="66"/>
      <c r="E262" s="64"/>
      <c r="F262" s="79"/>
      <c r="G262" s="80"/>
      <c r="H262" s="37"/>
      <c r="I262" s="63"/>
      <c r="J262" s="64"/>
      <c r="K262" s="64"/>
      <c r="L262" s="64"/>
      <c r="M262" s="82"/>
    </row>
    <row r="263" spans="1:19" s="22" customFormat="1" ht="15" customHeight="1">
      <c r="A263" s="93"/>
      <c r="B263" s="131"/>
      <c r="C263" s="38"/>
      <c r="D263" s="66"/>
      <c r="E263" s="64"/>
      <c r="F263" s="79"/>
      <c r="G263" s="80"/>
      <c r="H263" s="37"/>
      <c r="I263" s="63"/>
      <c r="J263" s="64"/>
      <c r="K263" s="64"/>
      <c r="L263" s="64"/>
      <c r="M263" s="82"/>
      <c r="N263" s="37"/>
      <c r="O263" s="37"/>
    </row>
    <row r="264" spans="1:19" s="22" customFormat="1" ht="15" customHeight="1">
      <c r="A264" s="93"/>
      <c r="B264" s="131"/>
      <c r="C264" s="38"/>
      <c r="D264" s="66"/>
      <c r="E264" s="64"/>
      <c r="F264" s="79"/>
      <c r="G264" s="80"/>
      <c r="H264" s="37"/>
      <c r="I264" s="63"/>
      <c r="J264" s="64"/>
      <c r="K264" s="64"/>
      <c r="L264" s="64"/>
      <c r="M264" s="82"/>
      <c r="N264" s="37"/>
      <c r="O264" s="37"/>
    </row>
    <row r="265" spans="1:19" s="22" customFormat="1" ht="15" customHeight="1">
      <c r="A265" s="93"/>
      <c r="B265" s="131"/>
      <c r="C265" s="38"/>
      <c r="D265" s="66"/>
      <c r="E265" s="64"/>
      <c r="F265" s="79"/>
      <c r="G265" s="80"/>
      <c r="H265" s="37"/>
      <c r="I265" s="63"/>
      <c r="J265" s="64"/>
      <c r="K265" s="64"/>
      <c r="L265" s="64"/>
      <c r="M265" s="82"/>
      <c r="N265" s="37"/>
      <c r="O265" s="37"/>
    </row>
    <row r="266" spans="1:19" s="22" customFormat="1" ht="15" customHeight="1">
      <c r="A266" s="93"/>
      <c r="B266" s="131"/>
      <c r="C266" s="38"/>
      <c r="D266" s="66"/>
      <c r="E266" s="64"/>
      <c r="F266" s="79"/>
      <c r="G266" s="80"/>
      <c r="H266" s="37"/>
      <c r="I266" s="63"/>
      <c r="J266" s="64"/>
      <c r="K266" s="64"/>
      <c r="L266" s="64"/>
      <c r="M266" s="82"/>
      <c r="N266" s="37"/>
      <c r="O266" s="37"/>
    </row>
    <row r="267" spans="1:19" s="22" customFormat="1" ht="15" customHeight="1">
      <c r="A267" s="93"/>
      <c r="B267" s="131"/>
      <c r="C267" s="38"/>
      <c r="D267" s="66"/>
      <c r="E267" s="64"/>
      <c r="F267" s="79"/>
      <c r="G267" s="80"/>
      <c r="H267" s="37"/>
      <c r="I267" s="63"/>
      <c r="J267" s="64"/>
      <c r="K267" s="64"/>
      <c r="L267" s="64"/>
      <c r="M267" s="82"/>
    </row>
    <row r="268" spans="1:19" ht="15" customHeight="1">
      <c r="N268" s="22"/>
      <c r="O268" s="22"/>
      <c r="P268" s="22"/>
      <c r="Q268" s="22"/>
      <c r="R268" s="22"/>
      <c r="S268" s="22"/>
    </row>
    <row r="269" spans="1:19" ht="15" customHeight="1">
      <c r="N269" s="22"/>
      <c r="O269" s="22"/>
      <c r="P269" s="22"/>
      <c r="Q269" s="22"/>
      <c r="R269" s="22"/>
      <c r="S269" s="22"/>
    </row>
    <row r="270" spans="1:19" ht="15" customHeight="1"/>
    <row r="271" spans="1:19" ht="15" customHeight="1">
      <c r="N271" s="22"/>
      <c r="O271" s="22"/>
    </row>
    <row r="272" spans="1:19" ht="15" customHeight="1">
      <c r="N272" s="22"/>
      <c r="O272" s="22"/>
    </row>
    <row r="273" spans="1:19" ht="15" customHeight="1">
      <c r="N273" s="22"/>
      <c r="O273" s="22"/>
    </row>
    <row r="274" spans="1:19" ht="15" customHeight="1">
      <c r="N274" s="22"/>
      <c r="O274" s="22"/>
    </row>
    <row r="275" spans="1:19" ht="15" customHeight="1">
      <c r="N275" s="22"/>
      <c r="O275" s="22"/>
    </row>
    <row r="276" spans="1:19" ht="15" customHeight="1">
      <c r="N276" s="22"/>
      <c r="O276" s="22"/>
    </row>
    <row r="277" spans="1:19" ht="15" customHeight="1">
      <c r="N277" s="22"/>
      <c r="O277" s="22"/>
    </row>
    <row r="278" spans="1:19" ht="15" customHeight="1">
      <c r="N278" s="22"/>
      <c r="O278" s="22"/>
    </row>
    <row r="279" spans="1:19" ht="15" customHeight="1">
      <c r="N279" s="22"/>
      <c r="O279" s="22"/>
    </row>
    <row r="280" spans="1:19" ht="15" customHeight="1">
      <c r="N280" s="22"/>
      <c r="O280" s="22"/>
    </row>
    <row r="281" spans="1:19" ht="15" customHeight="1">
      <c r="N281" s="22"/>
      <c r="O281" s="22"/>
    </row>
    <row r="282" spans="1:19" s="41" customFormat="1" ht="15" customHeight="1">
      <c r="A282" s="93"/>
      <c r="B282" s="131"/>
      <c r="C282" s="38"/>
      <c r="D282" s="66"/>
      <c r="E282" s="64"/>
      <c r="F282" s="79"/>
      <c r="G282" s="80"/>
      <c r="H282" s="37"/>
      <c r="I282" s="63"/>
      <c r="J282" s="64"/>
      <c r="K282" s="64"/>
      <c r="L282" s="64"/>
      <c r="M282" s="82"/>
      <c r="N282" s="22"/>
      <c r="O282" s="22"/>
      <c r="P282" s="37"/>
      <c r="Q282" s="37"/>
      <c r="R282" s="37"/>
      <c r="S282" s="37"/>
    </row>
    <row r="283" spans="1:19" s="41" customFormat="1" ht="15" customHeight="1">
      <c r="A283" s="93"/>
      <c r="B283" s="131"/>
      <c r="C283" s="38"/>
      <c r="D283" s="66"/>
      <c r="E283" s="64"/>
      <c r="F283" s="79"/>
      <c r="G283" s="80"/>
      <c r="H283" s="37"/>
      <c r="I283" s="63"/>
      <c r="J283" s="64"/>
      <c r="K283" s="64"/>
      <c r="L283" s="64"/>
      <c r="M283" s="82"/>
      <c r="N283" s="22"/>
      <c r="O283" s="22"/>
      <c r="P283" s="37"/>
      <c r="Q283" s="37"/>
      <c r="R283" s="37"/>
      <c r="S283" s="37"/>
    </row>
    <row r="284" spans="1:19" s="41" customFormat="1" ht="15" customHeight="1">
      <c r="A284" s="93"/>
      <c r="B284" s="131"/>
      <c r="C284" s="38"/>
      <c r="D284" s="66"/>
      <c r="E284" s="64"/>
      <c r="F284" s="79"/>
      <c r="G284" s="80"/>
      <c r="H284" s="37"/>
      <c r="I284" s="63"/>
      <c r="J284" s="64"/>
      <c r="K284" s="64"/>
      <c r="L284" s="64"/>
      <c r="M284" s="82"/>
      <c r="N284" s="22"/>
      <c r="O284" s="22"/>
    </row>
    <row r="285" spans="1:19" ht="15" customHeight="1">
      <c r="N285" s="22"/>
      <c r="O285" s="22"/>
      <c r="P285" s="41"/>
      <c r="Q285" s="41"/>
      <c r="R285" s="41"/>
      <c r="S285" s="41"/>
    </row>
    <row r="286" spans="1:19" ht="15" customHeight="1">
      <c r="N286" s="22"/>
      <c r="O286" s="22"/>
      <c r="P286" s="41"/>
      <c r="Q286" s="41"/>
      <c r="R286" s="41"/>
      <c r="S286" s="41"/>
    </row>
    <row r="287" spans="1:19" ht="15" customHeight="1">
      <c r="N287" s="22"/>
      <c r="O287" s="22"/>
    </row>
    <row r="288" spans="1:19" s="41" customFormat="1" ht="15" customHeight="1">
      <c r="A288" s="93"/>
      <c r="B288" s="131"/>
      <c r="C288" s="38"/>
      <c r="D288" s="66"/>
      <c r="E288" s="64"/>
      <c r="F288" s="79"/>
      <c r="G288" s="80"/>
      <c r="H288" s="37"/>
      <c r="I288" s="63"/>
      <c r="J288" s="64"/>
      <c r="K288" s="64"/>
      <c r="L288" s="64"/>
      <c r="M288" s="82"/>
      <c r="N288" s="22"/>
      <c r="O288" s="22"/>
      <c r="P288" s="37"/>
      <c r="Q288" s="37"/>
      <c r="R288" s="37"/>
      <c r="S288" s="37"/>
    </row>
    <row r="289" spans="1:19" s="41" customFormat="1" ht="15" customHeight="1">
      <c r="A289" s="93"/>
      <c r="B289" s="131"/>
      <c r="C289" s="38"/>
      <c r="D289" s="66"/>
      <c r="E289" s="64"/>
      <c r="F289" s="79"/>
      <c r="G289" s="80"/>
      <c r="H289" s="37"/>
      <c r="I289" s="63"/>
      <c r="J289" s="64"/>
      <c r="K289" s="64"/>
      <c r="L289" s="64"/>
      <c r="M289" s="82"/>
      <c r="N289" s="37"/>
      <c r="O289" s="37"/>
      <c r="P289" s="37"/>
      <c r="Q289" s="37"/>
      <c r="R289" s="37"/>
      <c r="S289" s="37"/>
    </row>
    <row r="290" spans="1:19" s="41" customFormat="1" ht="15" customHeight="1">
      <c r="A290" s="93"/>
      <c r="B290" s="131"/>
      <c r="C290" s="38"/>
      <c r="D290" s="66"/>
      <c r="E290" s="64"/>
      <c r="F290" s="79"/>
      <c r="G290" s="80"/>
      <c r="H290" s="37"/>
      <c r="I290" s="63"/>
      <c r="J290" s="64"/>
      <c r="K290" s="64"/>
      <c r="L290" s="64"/>
      <c r="M290" s="82"/>
      <c r="N290" s="37"/>
      <c r="O290" s="37"/>
    </row>
    <row r="291" spans="1:19" ht="15" customHeight="1">
      <c r="P291" s="41"/>
      <c r="Q291" s="41"/>
      <c r="R291" s="41"/>
      <c r="S291" s="41"/>
    </row>
    <row r="292" spans="1:19" ht="15" customHeight="1">
      <c r="P292" s="41"/>
      <c r="Q292" s="41"/>
      <c r="R292" s="41"/>
      <c r="S292" s="41"/>
    </row>
    <row r="293" spans="1:19" ht="15" customHeight="1"/>
    <row r="294" spans="1:19" ht="15" customHeight="1"/>
    <row r="295" spans="1:19" ht="15" customHeight="1"/>
    <row r="296" spans="1:19" s="41" customFormat="1" ht="15" customHeight="1">
      <c r="A296" s="93"/>
      <c r="B296" s="131"/>
      <c r="C296" s="38"/>
      <c r="D296" s="66"/>
      <c r="E296" s="64"/>
      <c r="F296" s="79"/>
      <c r="G296" s="80"/>
      <c r="H296" s="37"/>
      <c r="I296" s="63"/>
      <c r="J296" s="64"/>
      <c r="K296" s="64"/>
      <c r="L296" s="64"/>
      <c r="M296" s="82"/>
      <c r="N296" s="37"/>
      <c r="O296" s="37"/>
      <c r="P296" s="37"/>
      <c r="Q296" s="37"/>
      <c r="R296" s="37"/>
      <c r="S296" s="37"/>
    </row>
    <row r="297" spans="1:19" s="41" customFormat="1" ht="15" customHeight="1">
      <c r="A297" s="93"/>
      <c r="B297" s="131"/>
      <c r="C297" s="38"/>
      <c r="D297" s="66"/>
      <c r="E297" s="64"/>
      <c r="F297" s="79"/>
      <c r="G297" s="80"/>
      <c r="H297" s="37"/>
      <c r="I297" s="63"/>
      <c r="J297" s="64"/>
      <c r="K297" s="64"/>
      <c r="L297" s="64"/>
      <c r="M297" s="82"/>
      <c r="N297" s="37"/>
      <c r="O297" s="37"/>
      <c r="P297" s="37"/>
      <c r="Q297" s="37"/>
      <c r="R297" s="37"/>
      <c r="S297" s="37"/>
    </row>
    <row r="298" spans="1:19" s="41" customFormat="1" ht="15" customHeight="1">
      <c r="A298" s="93"/>
      <c r="B298" s="131"/>
      <c r="C298" s="38"/>
      <c r="D298" s="66"/>
      <c r="E298" s="64"/>
      <c r="F298" s="79"/>
      <c r="G298" s="80"/>
      <c r="H298" s="37"/>
      <c r="I298" s="63"/>
      <c r="J298" s="64"/>
      <c r="K298" s="64"/>
      <c r="L298" s="64"/>
      <c r="M298" s="82"/>
      <c r="N298" s="37"/>
      <c r="O298" s="37"/>
    </row>
    <row r="299" spans="1:19" ht="15" customHeight="1">
      <c r="P299" s="41"/>
      <c r="Q299" s="41"/>
      <c r="R299" s="41"/>
      <c r="S299" s="41"/>
    </row>
    <row r="300" spans="1:19" ht="15" customHeight="1">
      <c r="P300" s="41"/>
      <c r="Q300" s="41"/>
      <c r="R300" s="41"/>
      <c r="S300" s="41"/>
    </row>
    <row r="301" spans="1:19" ht="15" customHeight="1"/>
    <row r="302" spans="1:19" ht="15" customHeight="1"/>
    <row r="303" spans="1:19">
      <c r="N303" s="41"/>
      <c r="O303" s="41"/>
    </row>
    <row r="304" spans="1:19" ht="15" customHeight="1">
      <c r="N304" s="41"/>
      <c r="O304" s="41"/>
    </row>
    <row r="305" spans="1:19">
      <c r="N305" s="41"/>
      <c r="O305" s="41"/>
    </row>
    <row r="307" spans="1:19" s="41" customFormat="1">
      <c r="A307" s="93"/>
      <c r="B307" s="131"/>
      <c r="C307" s="38"/>
      <c r="D307" s="66"/>
      <c r="E307" s="64"/>
      <c r="F307" s="79"/>
      <c r="G307" s="80"/>
      <c r="H307" s="37"/>
      <c r="I307" s="63"/>
      <c r="J307" s="64"/>
      <c r="K307" s="64"/>
      <c r="L307" s="64"/>
      <c r="M307" s="82"/>
      <c r="N307" s="37"/>
      <c r="O307" s="37"/>
      <c r="P307" s="37"/>
      <c r="Q307" s="37"/>
      <c r="R307" s="37"/>
      <c r="S307" s="37"/>
    </row>
    <row r="308" spans="1:19" s="41" customFormat="1" ht="15" customHeight="1">
      <c r="A308" s="93"/>
      <c r="B308" s="131"/>
      <c r="C308" s="38"/>
      <c r="D308" s="66"/>
      <c r="E308" s="64"/>
      <c r="F308" s="79"/>
      <c r="G308" s="80"/>
      <c r="H308" s="37"/>
      <c r="I308" s="63"/>
      <c r="J308" s="64"/>
      <c r="K308" s="64"/>
      <c r="L308" s="64"/>
      <c r="M308" s="82"/>
      <c r="N308" s="37"/>
      <c r="O308" s="37"/>
      <c r="P308" s="37"/>
      <c r="Q308" s="37"/>
      <c r="R308" s="37"/>
      <c r="S308" s="37"/>
    </row>
    <row r="309" spans="1:19" s="41" customFormat="1">
      <c r="A309" s="93"/>
      <c r="B309" s="131"/>
      <c r="C309" s="38"/>
      <c r="D309" s="66"/>
      <c r="E309" s="64"/>
      <c r="F309" s="79"/>
      <c r="G309" s="80"/>
      <c r="H309" s="37"/>
      <c r="I309" s="63"/>
      <c r="J309" s="64"/>
      <c r="K309" s="64"/>
      <c r="L309" s="64"/>
      <c r="M309" s="82"/>
    </row>
    <row r="310" spans="1:19">
      <c r="N310" s="41"/>
      <c r="O310" s="41"/>
      <c r="P310" s="41"/>
      <c r="Q310" s="41"/>
      <c r="R310" s="41"/>
      <c r="S310" s="41"/>
    </row>
    <row r="311" spans="1:19" s="22" customFormat="1" ht="12" customHeight="1">
      <c r="A311" s="93"/>
      <c r="B311" s="131"/>
      <c r="C311" s="38"/>
      <c r="D311" s="66"/>
      <c r="E311" s="64"/>
      <c r="F311" s="79"/>
      <c r="G311" s="80"/>
      <c r="H311" s="37"/>
      <c r="I311" s="63"/>
      <c r="J311" s="64"/>
      <c r="K311" s="64"/>
      <c r="L311" s="64"/>
      <c r="M311" s="82"/>
      <c r="N311" s="41"/>
      <c r="O311" s="41"/>
      <c r="P311" s="41"/>
      <c r="Q311" s="41"/>
      <c r="R311" s="41"/>
      <c r="S311" s="41"/>
    </row>
    <row r="312" spans="1:19" ht="15" customHeight="1"/>
    <row r="313" spans="1:19" ht="15" customHeight="1">
      <c r="P313" s="22"/>
      <c r="Q313" s="22"/>
      <c r="R313" s="22"/>
      <c r="S313" s="22"/>
    </row>
    <row r="314" spans="1:19" ht="14.1" customHeight="1"/>
    <row r="316" spans="1:19" ht="12" customHeight="1"/>
    <row r="317" spans="1:19" s="41" customFormat="1" ht="12" customHeight="1">
      <c r="A317" s="93"/>
      <c r="B317" s="131"/>
      <c r="C317" s="38"/>
      <c r="D317" s="66"/>
      <c r="E317" s="64"/>
      <c r="F317" s="79"/>
      <c r="G317" s="80"/>
      <c r="H317" s="37"/>
      <c r="I317" s="63"/>
      <c r="J317" s="64"/>
      <c r="K317" s="64"/>
      <c r="L317" s="64"/>
      <c r="M317" s="82"/>
      <c r="P317" s="37"/>
      <c r="Q317" s="37"/>
      <c r="R317" s="37"/>
      <c r="S317" s="37"/>
    </row>
    <row r="318" spans="1:19" s="41" customFormat="1" ht="12" customHeight="1">
      <c r="A318" s="93"/>
      <c r="B318" s="131"/>
      <c r="C318" s="38"/>
      <c r="D318" s="66"/>
      <c r="E318" s="64"/>
      <c r="F318" s="79"/>
      <c r="G318" s="80"/>
      <c r="H318" s="37"/>
      <c r="I318" s="63"/>
      <c r="J318" s="64"/>
      <c r="K318" s="64"/>
      <c r="L318" s="64"/>
      <c r="M318" s="82"/>
      <c r="P318" s="37"/>
      <c r="Q318" s="37"/>
      <c r="R318" s="37"/>
      <c r="S318" s="37"/>
    </row>
    <row r="319" spans="1:19" s="41" customFormat="1">
      <c r="A319" s="93"/>
      <c r="B319" s="131"/>
      <c r="C319" s="38"/>
      <c r="D319" s="66"/>
      <c r="E319" s="64"/>
      <c r="F319" s="79"/>
      <c r="G319" s="80"/>
      <c r="H319" s="37"/>
      <c r="I319" s="63"/>
      <c r="J319" s="64"/>
      <c r="K319" s="64"/>
      <c r="L319" s="64"/>
      <c r="M319" s="82"/>
    </row>
    <row r="320" spans="1:19">
      <c r="P320" s="41"/>
      <c r="Q320" s="41"/>
      <c r="R320" s="41"/>
      <c r="S320" s="41"/>
    </row>
    <row r="321" spans="1:19" ht="15" customHeight="1">
      <c r="P321" s="41"/>
      <c r="Q321" s="41"/>
      <c r="R321" s="41"/>
      <c r="S321" s="41"/>
    </row>
    <row r="322" spans="1:19" s="52" customFormat="1" ht="15.6">
      <c r="A322" s="93"/>
      <c r="B322" s="131"/>
      <c r="C322" s="38"/>
      <c r="D322" s="66"/>
      <c r="E322" s="64"/>
      <c r="F322" s="79"/>
      <c r="G322" s="80"/>
      <c r="H322" s="37"/>
      <c r="I322" s="63"/>
      <c r="J322" s="64"/>
      <c r="K322" s="64"/>
      <c r="L322" s="64"/>
      <c r="M322" s="82"/>
      <c r="N322" s="37"/>
      <c r="O322" s="37"/>
      <c r="P322" s="37"/>
      <c r="Q322" s="37"/>
      <c r="R322" s="37"/>
      <c r="S322" s="37"/>
    </row>
    <row r="323" spans="1:19" ht="15" customHeight="1"/>
    <row r="324" spans="1:19" ht="15.6">
      <c r="P324" s="52"/>
      <c r="Q324" s="52"/>
      <c r="R324" s="52"/>
      <c r="S324" s="52"/>
    </row>
    <row r="328" spans="1:19">
      <c r="N328" s="41"/>
      <c r="O328" s="41"/>
    </row>
    <row r="329" spans="1:19">
      <c r="N329" s="41"/>
      <c r="O329" s="41"/>
    </row>
    <row r="330" spans="1:19">
      <c r="N330" s="41"/>
      <c r="O330" s="41"/>
    </row>
    <row r="332" spans="1:19">
      <c r="N332" s="22"/>
      <c r="O332" s="22"/>
    </row>
    <row r="338" spans="14:15">
      <c r="N338" s="41"/>
      <c r="O338" s="41"/>
    </row>
    <row r="339" spans="14:15">
      <c r="N339" s="41"/>
      <c r="O339" s="41"/>
    </row>
    <row r="340" spans="14:15">
      <c r="N340" s="41"/>
      <c r="O340" s="41"/>
    </row>
    <row r="343" spans="14:15" ht="15.6">
      <c r="N343" s="52"/>
      <c r="O343" s="52"/>
    </row>
  </sheetData>
  <dataConsolidate/>
  <mergeCells count="15">
    <mergeCell ref="C42:F42"/>
    <mergeCell ref="C97:F97"/>
    <mergeCell ref="C79:F79"/>
    <mergeCell ref="C47:F47"/>
    <mergeCell ref="C87:F87"/>
    <mergeCell ref="C54:F54"/>
    <mergeCell ref="C59:F59"/>
    <mergeCell ref="C64:F64"/>
    <mergeCell ref="C69:F69"/>
    <mergeCell ref="C74:F74"/>
    <mergeCell ref="C8:F8"/>
    <mergeCell ref="C13:F13"/>
    <mergeCell ref="C21:F21"/>
    <mergeCell ref="C26:F26"/>
    <mergeCell ref="C35:F35"/>
  </mergeCells>
  <phoneticPr fontId="10" type="noConversion"/>
  <printOptions horizontalCentered="1"/>
  <pageMargins left="0.39370078740157483" right="0.27559055118110237" top="0.19685039370078741" bottom="0.94488188976377963" header="0" footer="0.47244094488188981"/>
  <pageSetup paperSize="9" scale="68" fitToHeight="0" orientation="portrait" r:id="rId1"/>
  <headerFooter alignWithMargins="0">
    <oddFooter xml:space="preserve">&amp;L&amp;"Arial Narrow,Regular"&amp;7&amp;F Issue 1/- &amp;D&amp;8                                    &amp;C&amp;"Arial,Regular"&amp;10&amp;P&amp;R&amp;"Arial Narrow,Regular"    &amp;"TimesNewRomanPS,Regular"    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633"/>
  <sheetViews>
    <sheetView view="pageBreakPreview" zoomScale="60" zoomScaleNormal="75" workbookViewId="0">
      <selection activeCell="M94" sqref="M94"/>
    </sheetView>
  </sheetViews>
  <sheetFormatPr defaultColWidth="9" defaultRowHeight="13.8"/>
  <cols>
    <col min="1" max="1" width="3.3984375" style="93" customWidth="1"/>
    <col min="2" max="2" width="5.3984375" style="131" customWidth="1"/>
    <col min="3" max="3" width="23" style="38" customWidth="1"/>
    <col min="4" max="4" width="7.8984375" style="66" bestFit="1" customWidth="1"/>
    <col min="5" max="5" width="6.69921875" style="64" bestFit="1" customWidth="1"/>
    <col min="6" max="6" width="6.3984375" style="79" bestFit="1" customWidth="1"/>
    <col min="7" max="7" width="8.09765625" style="80" bestFit="1" customWidth="1"/>
    <col min="8" max="8" width="8.8984375" style="37" customWidth="1"/>
    <col min="9" max="9" width="7.09765625" style="63" customWidth="1"/>
    <col min="10" max="11" width="7.09765625" style="64" customWidth="1"/>
    <col min="12" max="12" width="10.69921875" style="64" bestFit="1" customWidth="1"/>
    <col min="13" max="13" width="10.69921875" style="82" customWidth="1"/>
    <col min="14" max="14" width="9.8984375" style="37" customWidth="1"/>
    <col min="15" max="15" width="9.59765625" style="37" bestFit="1" customWidth="1"/>
    <col min="16" max="16" width="6.69921875" style="37" customWidth="1"/>
    <col min="17" max="17" width="14.8984375" style="37" bestFit="1" customWidth="1"/>
    <col min="18" max="18" width="10.5" style="37" customWidth="1"/>
    <col min="19" max="19" width="4.09765625" style="37" customWidth="1"/>
    <col min="20" max="20" width="14.5" style="37" bestFit="1" customWidth="1"/>
    <col min="21" max="16384" width="9" style="37"/>
  </cols>
  <sheetData>
    <row r="1" spans="1:15" s="52" customFormat="1" ht="15.6">
      <c r="A1" s="94" t="s">
        <v>0</v>
      </c>
      <c r="B1" s="128"/>
      <c r="C1" s="54"/>
      <c r="D1" s="46"/>
      <c r="E1" s="47"/>
      <c r="F1" s="48"/>
      <c r="G1" s="49"/>
      <c r="I1" s="50"/>
      <c r="J1" s="47"/>
      <c r="K1" s="47"/>
      <c r="L1" s="47"/>
      <c r="M1" s="51" t="str">
        <f>SUMMARY!N1</f>
        <v>PROPOSED BUILDING WORKS</v>
      </c>
      <c r="N1" s="22"/>
    </row>
    <row r="2" spans="1:15" s="52" customFormat="1" ht="15.6">
      <c r="A2" s="94">
        <f>SUMMARY!A2</f>
        <v>0</v>
      </c>
      <c r="B2" s="128"/>
      <c r="C2" s="54"/>
      <c r="D2" s="46"/>
      <c r="E2" s="47"/>
      <c r="F2" s="48"/>
      <c r="G2" s="49"/>
      <c r="I2" s="50"/>
      <c r="J2" s="47"/>
      <c r="K2" s="47"/>
      <c r="L2" s="47"/>
      <c r="M2" s="53" t="str">
        <f>SUMMARY!N2</f>
        <v>261-263 Balwyn Road, Balwyn North</v>
      </c>
      <c r="N2" s="22"/>
    </row>
    <row r="3" spans="1:15" s="52" customFormat="1" ht="15.6">
      <c r="A3" s="49"/>
      <c r="B3" s="128"/>
      <c r="C3" s="54"/>
      <c r="D3" s="46"/>
      <c r="E3" s="47"/>
      <c r="F3" s="48"/>
      <c r="G3" s="49"/>
      <c r="I3" s="50"/>
      <c r="J3" s="47"/>
      <c r="K3" s="47"/>
      <c r="L3" s="47"/>
      <c r="M3" s="51" t="str">
        <f>SUMMARY!N3</f>
        <v>ESTIMATE - V1</v>
      </c>
      <c r="N3" s="22"/>
    </row>
    <row r="4" spans="1:15" s="32" customFormat="1" ht="15" customHeight="1">
      <c r="A4" s="102" t="s">
        <v>98</v>
      </c>
      <c r="B4" s="129" t="s">
        <v>99</v>
      </c>
      <c r="C4" s="55"/>
      <c r="D4" s="56" t="s">
        <v>100</v>
      </c>
      <c r="E4" s="56" t="s">
        <v>101</v>
      </c>
      <c r="F4" s="57" t="s">
        <v>102</v>
      </c>
      <c r="G4" s="58" t="s">
        <v>103</v>
      </c>
      <c r="H4" s="58" t="s">
        <v>104</v>
      </c>
      <c r="I4" s="59" t="s">
        <v>105</v>
      </c>
      <c r="J4" s="60" t="s">
        <v>106</v>
      </c>
      <c r="K4" s="60" t="s">
        <v>107</v>
      </c>
      <c r="L4" s="154" t="s">
        <v>108</v>
      </c>
      <c r="M4" s="154" t="s">
        <v>109</v>
      </c>
      <c r="N4" s="144" t="s">
        <v>108</v>
      </c>
      <c r="O4" s="144" t="s">
        <v>109</v>
      </c>
    </row>
    <row r="5" spans="1:15" s="22" customFormat="1" ht="15" customHeight="1">
      <c r="A5" s="83">
        <v>2</v>
      </c>
      <c r="B5" s="134" t="s">
        <v>265</v>
      </c>
      <c r="C5" s="16"/>
      <c r="D5" s="17"/>
      <c r="E5" s="17"/>
      <c r="F5" s="17"/>
      <c r="G5" s="18"/>
      <c r="H5" s="19"/>
      <c r="I5" s="17"/>
      <c r="J5" s="20"/>
      <c r="K5" s="20"/>
      <c r="L5" s="157"/>
      <c r="M5" s="158"/>
      <c r="N5" s="147"/>
      <c r="O5" s="148"/>
    </row>
    <row r="6" spans="1:15" s="22" customFormat="1" ht="15" customHeight="1">
      <c r="A6" s="91"/>
      <c r="B6" s="23" t="s">
        <v>144</v>
      </c>
      <c r="C6" s="16"/>
      <c r="D6" s="17"/>
      <c r="E6" s="17"/>
      <c r="F6" s="17"/>
      <c r="G6" s="18"/>
      <c r="H6" s="19"/>
      <c r="I6" s="17"/>
      <c r="J6" s="20"/>
      <c r="K6" s="20"/>
      <c r="L6" s="157"/>
      <c r="M6" s="158"/>
      <c r="N6" s="147"/>
      <c r="O6" s="148"/>
    </row>
    <row r="7" spans="1:15" s="22" customFormat="1" ht="15" customHeight="1">
      <c r="A7" s="91"/>
      <c r="B7" s="130"/>
      <c r="C7" s="24"/>
      <c r="D7" s="17"/>
      <c r="E7" s="17"/>
      <c r="F7" s="17"/>
      <c r="G7" s="18"/>
      <c r="H7" s="19"/>
      <c r="I7" s="17"/>
      <c r="J7" s="20"/>
      <c r="K7" s="20"/>
      <c r="L7" s="157"/>
      <c r="M7" s="158"/>
      <c r="N7" s="147"/>
      <c r="O7" s="148"/>
    </row>
    <row r="8" spans="1:15" s="22" customFormat="1" ht="15" customHeight="1">
      <c r="A8" s="88"/>
      <c r="B8" s="131"/>
      <c r="C8" s="942" t="s">
        <v>241</v>
      </c>
      <c r="D8" s="952"/>
      <c r="E8" s="952"/>
      <c r="F8" s="952"/>
      <c r="G8" s="33" t="s">
        <v>12</v>
      </c>
      <c r="H8" s="34">
        <f>H11</f>
        <v>77</v>
      </c>
      <c r="I8" s="35"/>
      <c r="J8" s="36"/>
      <c r="K8" s="36"/>
      <c r="L8" s="155"/>
      <c r="M8" s="156" t="s">
        <v>144</v>
      </c>
      <c r="N8" s="145"/>
      <c r="O8" s="146" t="s">
        <v>144</v>
      </c>
    </row>
    <row r="9" spans="1:15" s="22" customFormat="1" ht="15" customHeight="1">
      <c r="A9" s="89"/>
      <c r="B9" s="133"/>
      <c r="C9" s="43" t="s">
        <v>266</v>
      </c>
      <c r="D9" s="73">
        <v>77</v>
      </c>
      <c r="E9" s="136"/>
      <c r="F9" s="137"/>
      <c r="G9" s="44"/>
      <c r="H9" s="40">
        <f>D9</f>
        <v>77</v>
      </c>
      <c r="I9" s="35"/>
      <c r="J9" s="36"/>
      <c r="K9" s="36"/>
      <c r="L9" s="159"/>
      <c r="M9" s="160"/>
      <c r="N9" s="149"/>
      <c r="O9" s="150"/>
    </row>
    <row r="10" spans="1:15" s="22" customFormat="1" ht="15" customHeight="1">
      <c r="A10" s="89"/>
      <c r="B10" s="133"/>
      <c r="C10" s="43" t="s">
        <v>237</v>
      </c>
      <c r="D10" s="73"/>
      <c r="E10" s="73"/>
      <c r="F10" s="41"/>
      <c r="G10" s="44"/>
      <c r="H10" s="40">
        <v>0</v>
      </c>
      <c r="I10" s="35"/>
      <c r="J10" s="36"/>
      <c r="K10" s="36"/>
      <c r="L10" s="159"/>
      <c r="M10" s="160"/>
      <c r="N10" s="149"/>
      <c r="O10" s="150"/>
    </row>
    <row r="11" spans="1:15" s="22" customFormat="1" ht="15" customHeight="1" thickBot="1">
      <c r="A11" s="89"/>
      <c r="B11" s="133"/>
      <c r="C11" s="43"/>
      <c r="D11" s="35"/>
      <c r="E11" s="35"/>
      <c r="F11" s="35"/>
      <c r="G11" s="44"/>
      <c r="H11" s="45">
        <f>SUM(H9:H10)</f>
        <v>77</v>
      </c>
      <c r="I11" s="35"/>
      <c r="J11" s="36"/>
      <c r="K11" s="36"/>
      <c r="L11" s="159"/>
      <c r="M11" s="160"/>
      <c r="N11" s="149"/>
      <c r="O11" s="150"/>
    </row>
    <row r="12" spans="1:15" s="22" customFormat="1" ht="15" customHeight="1" thickTop="1">
      <c r="A12" s="88"/>
      <c r="B12" s="131"/>
      <c r="C12" s="38"/>
      <c r="D12" s="35"/>
      <c r="E12" s="35"/>
      <c r="F12" s="35"/>
      <c r="G12" s="33"/>
      <c r="H12" s="39"/>
      <c r="I12" s="35"/>
      <c r="J12" s="36"/>
      <c r="K12" s="36"/>
      <c r="L12" s="155"/>
      <c r="M12" s="156"/>
      <c r="N12" s="145"/>
      <c r="O12" s="146"/>
    </row>
    <row r="13" spans="1:15" ht="15" customHeight="1">
      <c r="A13" s="88"/>
      <c r="C13" s="942" t="s">
        <v>267</v>
      </c>
      <c r="D13" s="952"/>
      <c r="E13" s="952"/>
      <c r="F13" s="952"/>
      <c r="G13" s="33" t="s">
        <v>10</v>
      </c>
      <c r="H13" s="34">
        <f>H20</f>
        <v>17.8445</v>
      </c>
      <c r="I13" s="35"/>
      <c r="J13" s="36"/>
      <c r="K13" s="36"/>
      <c r="L13" s="155">
        <v>0</v>
      </c>
      <c r="M13" s="156">
        <f>H13*L13</f>
        <v>0</v>
      </c>
      <c r="N13" s="145">
        <v>0</v>
      </c>
      <c r="O13" s="146">
        <f>J13*N13</f>
        <v>0</v>
      </c>
    </row>
    <row r="14" spans="1:15" ht="15" customHeight="1">
      <c r="A14" s="89"/>
      <c r="B14" s="133"/>
      <c r="C14" s="43" t="s">
        <v>268</v>
      </c>
      <c r="D14" s="36">
        <v>51</v>
      </c>
      <c r="E14" s="136">
        <v>0.3</v>
      </c>
      <c r="F14" s="138">
        <v>0.35</v>
      </c>
      <c r="G14" s="103"/>
      <c r="H14" s="40">
        <f>D14*E14*F14</f>
        <v>5.3549999999999995</v>
      </c>
      <c r="I14" s="35"/>
      <c r="J14" s="36"/>
      <c r="K14" s="36"/>
      <c r="L14" s="159"/>
      <c r="M14" s="160"/>
      <c r="N14" s="149"/>
      <c r="O14" s="150"/>
    </row>
    <row r="15" spans="1:15" s="22" customFormat="1" ht="15" customHeight="1">
      <c r="A15" s="89"/>
      <c r="B15" s="133"/>
      <c r="C15" s="43" t="s">
        <v>269</v>
      </c>
      <c r="D15" s="36">
        <v>94</v>
      </c>
      <c r="E15" s="136">
        <v>0.11</v>
      </c>
      <c r="F15" s="138">
        <v>0.3</v>
      </c>
      <c r="G15" s="103"/>
      <c r="H15" s="40">
        <f>D15*E15*F15</f>
        <v>3.1019999999999999</v>
      </c>
      <c r="I15" s="35"/>
      <c r="J15" s="36"/>
      <c r="K15" s="36"/>
      <c r="L15" s="159"/>
      <c r="M15" s="160"/>
      <c r="N15" s="149"/>
      <c r="O15" s="150"/>
    </row>
    <row r="16" spans="1:15" s="22" customFormat="1" ht="15" customHeight="1">
      <c r="A16" s="89"/>
      <c r="B16" s="133"/>
      <c r="C16" s="43" t="s">
        <v>270</v>
      </c>
      <c r="D16" s="36">
        <v>1.2</v>
      </c>
      <c r="E16" s="136">
        <v>1.2</v>
      </c>
      <c r="F16" s="138">
        <v>0.6</v>
      </c>
      <c r="G16" s="103">
        <v>1</v>
      </c>
      <c r="H16" s="40">
        <f>D16*E16*F16*G16</f>
        <v>0.86399999999999999</v>
      </c>
      <c r="I16" s="35"/>
      <c r="J16" s="36"/>
      <c r="K16" s="36"/>
      <c r="L16" s="159"/>
      <c r="M16" s="160"/>
      <c r="N16" s="149"/>
      <c r="O16" s="150"/>
    </row>
    <row r="17" spans="1:15" s="22" customFormat="1" ht="15" customHeight="1">
      <c r="A17" s="89"/>
      <c r="B17" s="133"/>
      <c r="C17" s="43" t="s">
        <v>271</v>
      </c>
      <c r="D17" s="36">
        <v>0.75</v>
      </c>
      <c r="E17" s="136">
        <v>0.75</v>
      </c>
      <c r="F17" s="138">
        <v>0.6</v>
      </c>
      <c r="G17" s="103">
        <v>1</v>
      </c>
      <c r="H17" s="40">
        <f>D17*E17*F17*G17</f>
        <v>0.33749999999999997</v>
      </c>
      <c r="I17" s="35"/>
      <c r="J17" s="36"/>
      <c r="K17" s="36"/>
      <c r="L17" s="159"/>
      <c r="M17" s="160"/>
      <c r="N17" s="149"/>
      <c r="O17" s="150"/>
    </row>
    <row r="18" spans="1:15" ht="15" customHeight="1">
      <c r="A18" s="89"/>
      <c r="B18" s="133"/>
      <c r="C18" s="43" t="s">
        <v>272</v>
      </c>
      <c r="D18" s="36">
        <v>0.9</v>
      </c>
      <c r="E18" s="136">
        <v>0.9</v>
      </c>
      <c r="F18" s="138">
        <v>0.6</v>
      </c>
      <c r="G18" s="103">
        <v>1</v>
      </c>
      <c r="H18" s="40">
        <f>D18*E18*F18*G18</f>
        <v>0.48599999999999999</v>
      </c>
      <c r="I18" s="35"/>
      <c r="J18" s="36"/>
      <c r="K18" s="36"/>
      <c r="L18" s="159"/>
      <c r="M18" s="160"/>
      <c r="N18" s="149"/>
      <c r="O18" s="150"/>
    </row>
    <row r="19" spans="1:15" s="41" customFormat="1" ht="15" customHeight="1">
      <c r="A19" s="89"/>
      <c r="B19" s="133"/>
      <c r="C19" s="43" t="s">
        <v>273</v>
      </c>
      <c r="D19" s="36">
        <v>77</v>
      </c>
      <c r="E19" s="36">
        <v>0.1</v>
      </c>
      <c r="F19" s="36">
        <v>1</v>
      </c>
      <c r="G19" s="103"/>
      <c r="H19" s="40">
        <f>D19*E19*F19</f>
        <v>7.7</v>
      </c>
      <c r="I19" s="35"/>
      <c r="J19" s="36"/>
      <c r="K19" s="36"/>
      <c r="L19" s="159"/>
      <c r="M19" s="160"/>
      <c r="N19" s="149"/>
      <c r="O19" s="150"/>
    </row>
    <row r="20" spans="1:15" s="41" customFormat="1" ht="15" customHeight="1" thickBot="1">
      <c r="A20" s="89"/>
      <c r="B20" s="133"/>
      <c r="C20" s="43"/>
      <c r="D20" s="36"/>
      <c r="E20" s="36"/>
      <c r="F20" s="36"/>
      <c r="G20" s="103"/>
      <c r="H20" s="45">
        <f>SUM(H14:H19)</f>
        <v>17.8445</v>
      </c>
      <c r="I20" s="35"/>
      <c r="J20" s="36"/>
      <c r="K20" s="242" t="s">
        <v>88</v>
      </c>
      <c r="L20" s="159" t="e">
        <f>VLOOKUP(K20,#REF!,2)</f>
        <v>#REF!</v>
      </c>
      <c r="M20" s="160" t="e">
        <f>H13*L20</f>
        <v>#REF!</v>
      </c>
      <c r="N20" s="149" t="e">
        <f>VLOOKUP(K20,#REF!,3)</f>
        <v>#REF!</v>
      </c>
      <c r="O20" s="150" t="e">
        <f>H13*N20</f>
        <v>#REF!</v>
      </c>
    </row>
    <row r="21" spans="1:15" s="41" customFormat="1" ht="15" customHeight="1" thickTop="1">
      <c r="A21" s="89"/>
      <c r="B21" s="133"/>
      <c r="C21" s="43"/>
      <c r="D21" s="36"/>
      <c r="E21" s="36"/>
      <c r="F21" s="36"/>
      <c r="G21" s="103"/>
      <c r="H21" s="140"/>
      <c r="I21" s="35"/>
      <c r="J21" s="36"/>
      <c r="K21" s="36"/>
      <c r="L21" s="159"/>
      <c r="M21" s="160"/>
      <c r="N21" s="149"/>
      <c r="O21" s="150"/>
    </row>
    <row r="22" spans="1:15" ht="15" customHeight="1">
      <c r="A22" s="88"/>
      <c r="C22" s="942" t="s">
        <v>274</v>
      </c>
      <c r="D22" s="952"/>
      <c r="E22" s="952"/>
      <c r="F22" s="952"/>
      <c r="G22" s="33" t="s">
        <v>12</v>
      </c>
      <c r="H22" s="34">
        <f>H25</f>
        <v>77</v>
      </c>
      <c r="I22" s="35"/>
      <c r="J22" s="36"/>
      <c r="K22" s="469" t="s">
        <v>61</v>
      </c>
      <c r="L22" s="159" t="e">
        <f>VLOOKUP(K22,#REF!,2)</f>
        <v>#REF!</v>
      </c>
      <c r="M22" s="156" t="e">
        <f>H22*L22</f>
        <v>#REF!</v>
      </c>
      <c r="N22" s="149" t="e">
        <f>VLOOKUP(K22,#REF!,3)</f>
        <v>#REF!</v>
      </c>
      <c r="O22" s="146" t="e">
        <f>H22*N22</f>
        <v>#REF!</v>
      </c>
    </row>
    <row r="23" spans="1:15" s="41" customFormat="1" ht="15" customHeight="1">
      <c r="A23" s="89"/>
      <c r="B23" s="133"/>
      <c r="C23" s="43"/>
      <c r="D23" s="74">
        <f>H8</f>
        <v>77</v>
      </c>
      <c r="E23" s="73"/>
      <c r="G23" s="44"/>
      <c r="H23" s="40">
        <f>D23</f>
        <v>77</v>
      </c>
      <c r="I23" s="35"/>
      <c r="J23" s="36"/>
      <c r="K23" s="36"/>
      <c r="L23" s="159"/>
      <c r="M23" s="160"/>
      <c r="N23" s="149"/>
      <c r="O23" s="150"/>
    </row>
    <row r="24" spans="1:15" s="41" customFormat="1" ht="15" customHeight="1">
      <c r="A24" s="89"/>
      <c r="B24" s="133"/>
      <c r="C24" s="43" t="s">
        <v>237</v>
      </c>
      <c r="D24" s="73"/>
      <c r="E24" s="73"/>
      <c r="G24" s="44"/>
      <c r="H24" s="40">
        <v>0</v>
      </c>
      <c r="I24" s="35"/>
      <c r="J24" s="36"/>
      <c r="K24" s="36"/>
      <c r="L24" s="159"/>
      <c r="M24" s="160"/>
      <c r="N24" s="149"/>
      <c r="O24" s="150"/>
    </row>
    <row r="25" spans="1:15" ht="15" customHeight="1" thickBot="1">
      <c r="A25" s="89"/>
      <c r="B25" s="133"/>
      <c r="C25" s="43"/>
      <c r="D25" s="35"/>
      <c r="E25" s="35"/>
      <c r="F25" s="35"/>
      <c r="G25" s="44"/>
      <c r="H25" s="45">
        <f>SUM(H23:H24)</f>
        <v>77</v>
      </c>
      <c r="I25" s="35"/>
      <c r="J25" s="36"/>
      <c r="K25" s="36"/>
      <c r="L25" s="159"/>
      <c r="M25" s="160"/>
      <c r="N25" s="149"/>
      <c r="O25" s="150"/>
    </row>
    <row r="26" spans="1:15" s="41" customFormat="1" ht="15" customHeight="1" thickTop="1">
      <c r="A26" s="88"/>
      <c r="B26" s="131"/>
      <c r="C26" s="38"/>
      <c r="D26" s="35"/>
      <c r="E26" s="35"/>
      <c r="F26" s="35"/>
      <c r="G26" s="33"/>
      <c r="H26" s="39"/>
      <c r="I26" s="35"/>
      <c r="J26" s="36"/>
      <c r="K26" s="36"/>
      <c r="L26" s="155"/>
      <c r="M26" s="156"/>
      <c r="N26" s="145"/>
      <c r="O26" s="146"/>
    </row>
    <row r="27" spans="1:15" s="41" customFormat="1" ht="15" customHeight="1">
      <c r="A27" s="88"/>
      <c r="B27" s="131"/>
      <c r="C27" s="942" t="s">
        <v>275</v>
      </c>
      <c r="D27" s="952"/>
      <c r="E27" s="952"/>
      <c r="F27" s="952"/>
      <c r="G27" s="33" t="s">
        <v>11</v>
      </c>
      <c r="H27" s="34">
        <f>H30</f>
        <v>51</v>
      </c>
      <c r="I27" s="35"/>
      <c r="J27" s="36"/>
      <c r="K27" s="165" t="s">
        <v>276</v>
      </c>
      <c r="L27" s="159" t="e">
        <f>VLOOKUP(K27,#REF!,2)</f>
        <v>#REF!</v>
      </c>
      <c r="M27" s="156" t="e">
        <f>H27*L27</f>
        <v>#REF!</v>
      </c>
      <c r="N27" s="149" t="e">
        <f>VLOOKUP(K27,#REF!,3)</f>
        <v>#REF!</v>
      </c>
      <c r="O27" s="146" t="e">
        <f>H27*N27</f>
        <v>#REF!</v>
      </c>
    </row>
    <row r="28" spans="1:15" s="41" customFormat="1" ht="15" customHeight="1">
      <c r="A28" s="89"/>
      <c r="B28" s="133"/>
      <c r="C28" s="43" t="s">
        <v>268</v>
      </c>
      <c r="D28" s="139">
        <v>51</v>
      </c>
      <c r="E28" s="73"/>
      <c r="G28" s="44">
        <v>1</v>
      </c>
      <c r="H28" s="40">
        <f>D28*G28</f>
        <v>51</v>
      </c>
      <c r="I28" s="35"/>
      <c r="J28" s="36"/>
      <c r="K28" s="36"/>
      <c r="L28" s="159"/>
      <c r="M28" s="160"/>
      <c r="N28" s="149"/>
      <c r="O28" s="150"/>
    </row>
    <row r="29" spans="1:15" s="41" customFormat="1" ht="15" customHeight="1">
      <c r="A29" s="89"/>
      <c r="B29" s="133"/>
      <c r="C29" s="43" t="s">
        <v>237</v>
      </c>
      <c r="D29" s="35"/>
      <c r="E29" s="73"/>
      <c r="G29" s="44"/>
      <c r="H29" s="40">
        <v>0</v>
      </c>
      <c r="I29" s="35"/>
      <c r="J29" s="36"/>
      <c r="K29" s="36"/>
      <c r="L29" s="159"/>
      <c r="M29" s="160"/>
      <c r="N29" s="149"/>
      <c r="O29" s="150"/>
    </row>
    <row r="30" spans="1:15" s="41" customFormat="1" ht="15" customHeight="1" thickBot="1">
      <c r="A30" s="89"/>
      <c r="B30" s="133"/>
      <c r="C30" s="43"/>
      <c r="D30" s="35"/>
      <c r="E30" s="35"/>
      <c r="F30" s="35"/>
      <c r="G30" s="44"/>
      <c r="H30" s="45">
        <f>SUM(H28:H29)</f>
        <v>51</v>
      </c>
      <c r="I30" s="35"/>
      <c r="J30" s="36"/>
      <c r="K30" s="36"/>
      <c r="L30" s="159"/>
      <c r="M30" s="160"/>
      <c r="N30" s="149"/>
      <c r="O30" s="150"/>
    </row>
    <row r="31" spans="1:15" s="41" customFormat="1" ht="15" customHeight="1" thickTop="1" thickBot="1">
      <c r="A31" s="88"/>
      <c r="B31" s="131"/>
      <c r="C31" s="38"/>
      <c r="D31" s="35"/>
      <c r="E31" s="35"/>
      <c r="F31" s="35"/>
      <c r="G31" s="33"/>
      <c r="H31" s="39"/>
      <c r="I31" s="35"/>
      <c r="J31" s="36"/>
      <c r="K31" s="36"/>
      <c r="L31" s="155"/>
      <c r="M31" s="156"/>
      <c r="N31" s="145"/>
      <c r="O31" s="146"/>
    </row>
    <row r="32" spans="1:15" s="41" customFormat="1" ht="15" customHeight="1">
      <c r="A32" s="88"/>
      <c r="B32" s="131"/>
      <c r="C32" s="942" t="s">
        <v>250</v>
      </c>
      <c r="D32" s="952"/>
      <c r="E32" s="952"/>
      <c r="F32" s="952"/>
      <c r="G32" s="33" t="s">
        <v>277</v>
      </c>
      <c r="H32" s="34">
        <f>H35</f>
        <v>94</v>
      </c>
      <c r="I32" s="35"/>
      <c r="J32" s="36"/>
      <c r="K32" s="734" t="s">
        <v>42</v>
      </c>
      <c r="L32" s="159" t="e">
        <f>VLOOKUP(K32,#REF!,3)</f>
        <v>#REF!</v>
      </c>
      <c r="M32" s="156" t="e">
        <f>H32*L32</f>
        <v>#REF!</v>
      </c>
      <c r="N32" s="149" t="e">
        <f>VLOOKUP(K32,#REF!,4)</f>
        <v>#REF!</v>
      </c>
      <c r="O32" s="146" t="e">
        <f>H32*N32</f>
        <v>#REF!</v>
      </c>
    </row>
    <row r="33" spans="1:15" s="41" customFormat="1" ht="15" customHeight="1">
      <c r="A33" s="89"/>
      <c r="B33" s="133"/>
      <c r="C33" s="43" t="s">
        <v>278</v>
      </c>
      <c r="D33" s="35">
        <v>0</v>
      </c>
      <c r="E33" s="73">
        <v>1</v>
      </c>
      <c r="F33" s="141">
        <v>94</v>
      </c>
      <c r="G33" s="44"/>
      <c r="H33" s="40">
        <f>F33*E33</f>
        <v>94</v>
      </c>
      <c r="I33" s="35"/>
      <c r="J33" s="36"/>
      <c r="K33" s="36"/>
      <c r="L33" s="159"/>
      <c r="M33" s="160"/>
      <c r="N33" s="149"/>
      <c r="O33" s="150"/>
    </row>
    <row r="34" spans="1:15" s="41" customFormat="1" ht="15" customHeight="1">
      <c r="A34" s="89"/>
      <c r="B34" s="133"/>
      <c r="C34" s="43" t="s">
        <v>237</v>
      </c>
      <c r="D34" s="35">
        <v>500</v>
      </c>
      <c r="E34" s="73"/>
      <c r="F34" s="42"/>
      <c r="G34" s="44"/>
      <c r="H34" s="40">
        <v>0</v>
      </c>
      <c r="I34" s="35"/>
      <c r="J34" s="36"/>
      <c r="K34" s="36"/>
      <c r="L34" s="159"/>
      <c r="M34" s="160"/>
      <c r="N34" s="149"/>
      <c r="O34" s="150"/>
    </row>
    <row r="35" spans="1:15" s="41" customFormat="1" ht="15" customHeight="1" thickBot="1">
      <c r="A35" s="89"/>
      <c r="B35" s="133"/>
      <c r="C35" s="43"/>
      <c r="D35" s="35"/>
      <c r="E35" s="35"/>
      <c r="F35" s="42"/>
      <c r="G35" s="44" t="s">
        <v>279</v>
      </c>
      <c r="H35" s="45">
        <f>SUM(H33:H34)</f>
        <v>94</v>
      </c>
      <c r="I35" s="35"/>
      <c r="J35" s="36"/>
      <c r="K35" s="36"/>
      <c r="L35" s="159"/>
      <c r="M35" s="160"/>
      <c r="N35" s="149"/>
      <c r="O35" s="150"/>
    </row>
    <row r="36" spans="1:15" s="41" customFormat="1" ht="15" customHeight="1" thickTop="1">
      <c r="A36" s="88"/>
      <c r="B36" s="131"/>
      <c r="C36" s="38"/>
      <c r="D36" s="35"/>
      <c r="E36" s="35"/>
      <c r="F36" s="35"/>
      <c r="G36" s="33"/>
      <c r="H36" s="39"/>
      <c r="I36" s="35"/>
      <c r="J36" s="36"/>
      <c r="K36" s="36"/>
      <c r="L36" s="155"/>
      <c r="M36" s="156"/>
      <c r="N36" s="145"/>
      <c r="O36" s="146"/>
    </row>
    <row r="37" spans="1:15" s="41" customFormat="1" ht="15" customHeight="1">
      <c r="A37" s="88"/>
      <c r="B37" s="131"/>
      <c r="C37" s="38"/>
      <c r="D37" s="35"/>
      <c r="E37" s="35"/>
      <c r="F37" s="35"/>
      <c r="G37" s="33"/>
      <c r="H37" s="39"/>
      <c r="I37" s="35"/>
      <c r="J37" s="36"/>
      <c r="K37" s="36"/>
      <c r="L37" s="155"/>
      <c r="M37" s="156"/>
      <c r="N37" s="145"/>
      <c r="O37" s="146"/>
    </row>
    <row r="38" spans="1:15" s="41" customFormat="1" ht="15" customHeight="1">
      <c r="A38" s="88"/>
      <c r="B38" s="131"/>
      <c r="C38" s="942" t="s">
        <v>251</v>
      </c>
      <c r="D38" s="952"/>
      <c r="E38" s="952"/>
      <c r="F38" s="952"/>
      <c r="G38" s="33" t="s">
        <v>12</v>
      </c>
      <c r="H38" s="34">
        <f>H41</f>
        <v>77</v>
      </c>
      <c r="I38" s="35"/>
      <c r="J38" s="36"/>
      <c r="K38" s="36"/>
      <c r="L38" s="155">
        <v>5</v>
      </c>
      <c r="M38" s="156">
        <f>H38*L38</f>
        <v>385</v>
      </c>
      <c r="N38" s="145">
        <v>7.5</v>
      </c>
      <c r="O38" s="146">
        <f>H38*N38</f>
        <v>577.5</v>
      </c>
    </row>
    <row r="39" spans="1:15" s="41" customFormat="1" ht="15" customHeight="1">
      <c r="A39" s="89"/>
      <c r="B39" s="133"/>
      <c r="C39" s="43"/>
      <c r="D39" s="74">
        <f>H8</f>
        <v>77</v>
      </c>
      <c r="E39" s="73"/>
      <c r="G39" s="44"/>
      <c r="H39" s="40">
        <f>D39</f>
        <v>77</v>
      </c>
      <c r="I39" s="35"/>
      <c r="J39" s="36"/>
      <c r="K39" s="36"/>
      <c r="L39" s="159"/>
      <c r="M39" s="160"/>
      <c r="N39" s="149"/>
      <c r="O39" s="150"/>
    </row>
    <row r="40" spans="1:15" s="41" customFormat="1" ht="15" customHeight="1">
      <c r="A40" s="89"/>
      <c r="B40" s="133"/>
      <c r="C40" s="43" t="s">
        <v>237</v>
      </c>
      <c r="D40" s="73"/>
      <c r="E40" s="73"/>
      <c r="G40" s="44"/>
      <c r="H40" s="40">
        <v>0</v>
      </c>
      <c r="I40" s="35"/>
      <c r="J40" s="36"/>
      <c r="K40" s="36"/>
      <c r="L40" s="159"/>
      <c r="M40" s="160"/>
      <c r="N40" s="149"/>
      <c r="O40" s="150"/>
    </row>
    <row r="41" spans="1:15" s="41" customFormat="1" ht="15" customHeight="1" thickBot="1">
      <c r="A41" s="89"/>
      <c r="B41" s="133"/>
      <c r="C41" s="43"/>
      <c r="D41" s="35"/>
      <c r="E41" s="35"/>
      <c r="F41" s="35"/>
      <c r="G41" s="44"/>
      <c r="H41" s="45">
        <f>SUM(H39:H40)</f>
        <v>77</v>
      </c>
      <c r="I41" s="35"/>
      <c r="J41" s="36"/>
      <c r="K41" s="36"/>
      <c r="L41" s="159"/>
      <c r="M41" s="160"/>
      <c r="N41" s="149"/>
      <c r="O41" s="150"/>
    </row>
    <row r="42" spans="1:15" s="41" customFormat="1" ht="15" customHeight="1" thickTop="1">
      <c r="A42" s="88"/>
      <c r="B42" s="131"/>
      <c r="C42" s="38"/>
      <c r="D42" s="35"/>
      <c r="E42" s="35"/>
      <c r="F42" s="35"/>
      <c r="G42" s="33"/>
      <c r="H42" s="39"/>
      <c r="I42" s="35"/>
      <c r="J42" s="36"/>
      <c r="K42" s="36"/>
      <c r="L42" s="155"/>
      <c r="M42" s="156"/>
      <c r="N42" s="145"/>
      <c r="O42" s="146"/>
    </row>
    <row r="43" spans="1:15" s="41" customFormat="1" ht="15" customHeight="1">
      <c r="A43" s="88"/>
      <c r="B43" s="131"/>
      <c r="C43" s="942" t="s">
        <v>252</v>
      </c>
      <c r="D43" s="952"/>
      <c r="E43" s="952"/>
      <c r="F43" s="952"/>
      <c r="G43" s="33" t="s">
        <v>12</v>
      </c>
      <c r="H43" s="34">
        <f>H46</f>
        <v>77</v>
      </c>
      <c r="I43" s="35"/>
      <c r="J43" s="36"/>
      <c r="K43" s="36"/>
      <c r="L43" s="155">
        <v>4</v>
      </c>
      <c r="M43" s="156">
        <f>H43*L43</f>
        <v>308</v>
      </c>
      <c r="N43" s="145">
        <v>6</v>
      </c>
      <c r="O43" s="146">
        <f>H43*N43</f>
        <v>462</v>
      </c>
    </row>
    <row r="44" spans="1:15" s="41" customFormat="1" ht="15" customHeight="1">
      <c r="A44" s="89"/>
      <c r="B44" s="133"/>
      <c r="C44" s="43"/>
      <c r="D44" s="74">
        <f>H8</f>
        <v>77</v>
      </c>
      <c r="E44" s="73"/>
      <c r="G44" s="44"/>
      <c r="H44" s="40">
        <f>D44</f>
        <v>77</v>
      </c>
      <c r="I44" s="35"/>
      <c r="J44" s="36"/>
      <c r="K44" s="36"/>
      <c r="L44" s="159"/>
      <c r="M44" s="160"/>
      <c r="N44" s="149"/>
      <c r="O44" s="150"/>
    </row>
    <row r="45" spans="1:15" s="41" customFormat="1" ht="15" customHeight="1">
      <c r="A45" s="89"/>
      <c r="B45" s="133"/>
      <c r="C45" s="43" t="s">
        <v>237</v>
      </c>
      <c r="D45" s="73"/>
      <c r="E45" s="73"/>
      <c r="G45" s="44"/>
      <c r="H45" s="40">
        <v>0</v>
      </c>
      <c r="I45" s="35"/>
      <c r="J45" s="36"/>
      <c r="K45" s="36"/>
      <c r="L45" s="159"/>
      <c r="M45" s="160"/>
      <c r="N45" s="149"/>
      <c r="O45" s="150"/>
    </row>
    <row r="46" spans="1:15" s="41" customFormat="1" ht="15" customHeight="1" thickBot="1">
      <c r="A46" s="89"/>
      <c r="B46" s="133"/>
      <c r="C46" s="43"/>
      <c r="D46" s="35"/>
      <c r="E46" s="35"/>
      <c r="F46" s="35"/>
      <c r="G46" s="44"/>
      <c r="H46" s="45">
        <f>SUM(H44:H45)</f>
        <v>77</v>
      </c>
      <c r="I46" s="35"/>
      <c r="J46" s="36"/>
      <c r="K46" s="36"/>
      <c r="L46" s="159"/>
      <c r="M46" s="160"/>
      <c r="N46" s="149"/>
      <c r="O46" s="150"/>
    </row>
    <row r="47" spans="1:15" s="41" customFormat="1" ht="15" customHeight="1" thickTop="1">
      <c r="A47" s="88"/>
      <c r="B47" s="131"/>
      <c r="C47" s="38"/>
      <c r="D47" s="35"/>
      <c r="E47" s="35"/>
      <c r="F47" s="35"/>
      <c r="G47" s="33"/>
      <c r="H47" s="39"/>
      <c r="I47" s="35"/>
      <c r="J47" s="36"/>
      <c r="K47" s="36"/>
      <c r="L47" s="155"/>
      <c r="M47" s="156"/>
      <c r="N47" s="145"/>
      <c r="O47" s="146"/>
    </row>
    <row r="48" spans="1:15" s="41" customFormat="1" ht="15" customHeight="1" thickBot="1">
      <c r="A48" s="89"/>
      <c r="B48" s="133"/>
      <c r="C48" s="43"/>
      <c r="D48" s="35"/>
      <c r="E48" s="35"/>
      <c r="F48" s="35"/>
      <c r="G48" s="44"/>
      <c r="H48" s="45">
        <v>163.9</v>
      </c>
      <c r="I48" s="35"/>
      <c r="J48" s="36"/>
      <c r="K48" s="36"/>
      <c r="L48" s="159"/>
      <c r="M48" s="160"/>
      <c r="N48" s="149"/>
      <c r="O48" s="150"/>
    </row>
    <row r="49" spans="1:15" s="41" customFormat="1" ht="15" customHeight="1" thickTop="1">
      <c r="A49" s="88"/>
      <c r="B49" s="131"/>
      <c r="C49" s="38"/>
      <c r="D49" s="35"/>
      <c r="E49" s="35"/>
      <c r="F49" s="35"/>
      <c r="G49" s="33"/>
      <c r="H49" s="39"/>
      <c r="I49" s="35"/>
      <c r="J49" s="36"/>
      <c r="K49" s="36"/>
      <c r="L49" s="155"/>
      <c r="M49" s="156"/>
      <c r="N49" s="145"/>
      <c r="O49" s="146"/>
    </row>
    <row r="50" spans="1:15" s="41" customFormat="1" ht="15" customHeight="1">
      <c r="A50" s="88"/>
      <c r="B50" s="131"/>
      <c r="C50" s="942" t="s">
        <v>253</v>
      </c>
      <c r="D50" s="952"/>
      <c r="E50" s="952"/>
      <c r="F50" s="952"/>
      <c r="G50" s="33" t="s">
        <v>12</v>
      </c>
      <c r="H50" s="34">
        <f>H53</f>
        <v>0</v>
      </c>
      <c r="I50" s="35"/>
      <c r="J50" s="36"/>
      <c r="K50" s="36"/>
      <c r="L50" s="155">
        <v>1</v>
      </c>
      <c r="M50" s="156">
        <f>H50*L50</f>
        <v>0</v>
      </c>
      <c r="N50" s="145">
        <v>1.5</v>
      </c>
      <c r="O50" s="146">
        <f>H50*N50</f>
        <v>0</v>
      </c>
    </row>
    <row r="51" spans="1:15" s="41" customFormat="1" ht="15" customHeight="1">
      <c r="A51" s="89"/>
      <c r="B51" s="133"/>
      <c r="C51" s="43"/>
      <c r="D51" s="74">
        <v>0</v>
      </c>
      <c r="E51" s="73"/>
      <c r="F51" s="36"/>
      <c r="G51" s="44"/>
      <c r="H51" s="40">
        <f>D51</f>
        <v>0</v>
      </c>
      <c r="I51" s="35"/>
      <c r="J51" s="36"/>
      <c r="K51" s="36"/>
      <c r="L51" s="159"/>
      <c r="M51" s="160"/>
      <c r="N51" s="149"/>
      <c r="O51" s="150"/>
    </row>
    <row r="52" spans="1:15" s="41" customFormat="1" ht="15" customHeight="1">
      <c r="A52" s="89"/>
      <c r="B52" s="133"/>
      <c r="C52" s="43" t="s">
        <v>237</v>
      </c>
      <c r="D52" s="73"/>
      <c r="E52" s="73"/>
      <c r="G52" s="44"/>
      <c r="H52" s="40">
        <v>0</v>
      </c>
      <c r="I52" s="35"/>
      <c r="J52" s="36"/>
      <c r="K52" s="36"/>
      <c r="L52" s="159"/>
      <c r="M52" s="160"/>
      <c r="N52" s="149"/>
      <c r="O52" s="150"/>
    </row>
    <row r="53" spans="1:15" s="41" customFormat="1" ht="15" customHeight="1" thickBot="1">
      <c r="A53" s="89"/>
      <c r="B53" s="133"/>
      <c r="C53" s="43"/>
      <c r="D53" s="35"/>
      <c r="E53" s="35"/>
      <c r="F53" s="35"/>
      <c r="G53" s="44"/>
      <c r="H53" s="45">
        <f>SUM(H51:H52)</f>
        <v>0</v>
      </c>
      <c r="I53" s="35"/>
      <c r="J53" s="36"/>
      <c r="K53" s="36"/>
      <c r="L53" s="159"/>
      <c r="M53" s="160"/>
      <c r="N53" s="149"/>
      <c r="O53" s="150"/>
    </row>
    <row r="54" spans="1:15" s="41" customFormat="1" ht="15" customHeight="1" thickTop="1">
      <c r="A54" s="88"/>
      <c r="B54" s="131"/>
      <c r="C54" s="38"/>
      <c r="D54" s="35"/>
      <c r="E54" s="35"/>
      <c r="F54" s="35"/>
      <c r="G54" s="33"/>
      <c r="H54" s="39"/>
      <c r="I54" s="35"/>
      <c r="J54" s="36"/>
      <c r="K54" s="36"/>
      <c r="L54" s="155"/>
      <c r="M54" s="156"/>
      <c r="N54" s="145"/>
      <c r="O54" s="146"/>
    </row>
    <row r="55" spans="1:15" s="41" customFormat="1" ht="15" customHeight="1">
      <c r="A55" s="88"/>
      <c r="B55" s="131"/>
      <c r="C55" s="942" t="s">
        <v>254</v>
      </c>
      <c r="D55" s="952"/>
      <c r="E55" s="952"/>
      <c r="F55" s="952"/>
      <c r="G55" s="33" t="s">
        <v>12</v>
      </c>
      <c r="H55" s="34">
        <f>H58</f>
        <v>0</v>
      </c>
      <c r="I55" s="35"/>
      <c r="J55" s="36"/>
      <c r="K55" s="36"/>
      <c r="L55" s="155">
        <v>1</v>
      </c>
      <c r="M55" s="156">
        <f>H55*L55</f>
        <v>0</v>
      </c>
      <c r="N55" s="145">
        <v>1.5</v>
      </c>
      <c r="O55" s="146">
        <f>H55*N55</f>
        <v>0</v>
      </c>
    </row>
    <row r="56" spans="1:15" s="41" customFormat="1" ht="15" customHeight="1">
      <c r="A56" s="89"/>
      <c r="B56" s="133"/>
      <c r="C56" s="43"/>
      <c r="D56" s="74">
        <v>0</v>
      </c>
      <c r="E56" s="73"/>
      <c r="F56" s="36"/>
      <c r="G56" s="44"/>
      <c r="H56" s="40">
        <f>D56</f>
        <v>0</v>
      </c>
      <c r="I56" s="35"/>
      <c r="J56" s="36"/>
      <c r="K56" s="36"/>
      <c r="L56" s="159"/>
      <c r="M56" s="160"/>
      <c r="N56" s="149"/>
      <c r="O56" s="150"/>
    </row>
    <row r="57" spans="1:15" s="41" customFormat="1" ht="15" customHeight="1">
      <c r="A57" s="89"/>
      <c r="B57" s="133"/>
      <c r="C57" s="43" t="s">
        <v>237</v>
      </c>
      <c r="D57" s="73"/>
      <c r="E57" s="73"/>
      <c r="G57" s="44"/>
      <c r="H57" s="40">
        <v>0</v>
      </c>
      <c r="I57" s="35"/>
      <c r="J57" s="36"/>
      <c r="K57" s="36"/>
      <c r="L57" s="159"/>
      <c r="M57" s="160"/>
      <c r="N57" s="149"/>
      <c r="O57" s="150"/>
    </row>
    <row r="58" spans="1:15" ht="15" customHeight="1" thickBot="1">
      <c r="A58" s="89"/>
      <c r="B58" s="133"/>
      <c r="C58" s="43"/>
      <c r="D58" s="35"/>
      <c r="E58" s="35"/>
      <c r="F58" s="35"/>
      <c r="G58" s="44"/>
      <c r="H58" s="45">
        <f>SUM(H56:H57)</f>
        <v>0</v>
      </c>
      <c r="I58" s="35"/>
      <c r="J58" s="36"/>
      <c r="K58" s="36"/>
      <c r="L58" s="159"/>
      <c r="M58" s="160"/>
      <c r="N58" s="149"/>
      <c r="O58" s="150"/>
    </row>
    <row r="59" spans="1:15" ht="15" customHeight="1" thickTop="1">
      <c r="A59" s="89"/>
      <c r="B59" s="133"/>
      <c r="C59" s="43"/>
      <c r="D59" s="35"/>
      <c r="E59" s="35"/>
      <c r="F59" s="35"/>
      <c r="G59" s="44"/>
      <c r="H59" s="140"/>
      <c r="I59" s="35"/>
      <c r="J59" s="36"/>
      <c r="K59" s="36"/>
      <c r="L59" s="159"/>
      <c r="M59" s="160"/>
      <c r="N59" s="149"/>
      <c r="O59" s="150"/>
    </row>
    <row r="60" spans="1:15" s="41" customFormat="1" ht="15" customHeight="1">
      <c r="A60" s="88"/>
      <c r="B60" s="131"/>
      <c r="C60" s="942" t="s">
        <v>255</v>
      </c>
      <c r="D60" s="952"/>
      <c r="E60" s="952"/>
      <c r="F60" s="952"/>
      <c r="G60" s="33" t="s">
        <v>12</v>
      </c>
      <c r="H60" s="34">
        <f>H63</f>
        <v>51</v>
      </c>
      <c r="I60" s="35"/>
      <c r="J60" s="36"/>
      <c r="K60" s="36"/>
      <c r="L60" s="155">
        <v>7</v>
      </c>
      <c r="M60" s="156">
        <f>H60*L60</f>
        <v>357</v>
      </c>
      <c r="N60" s="145">
        <v>10.5</v>
      </c>
      <c r="O60" s="146">
        <f>H60*N60</f>
        <v>535.5</v>
      </c>
    </row>
    <row r="61" spans="1:15" s="41" customFormat="1" ht="15" customHeight="1">
      <c r="A61" s="89"/>
      <c r="B61" s="133"/>
      <c r="C61" s="142" t="s">
        <v>280</v>
      </c>
      <c r="D61" s="74">
        <f>D28</f>
        <v>51</v>
      </c>
      <c r="E61" s="73"/>
      <c r="F61" s="36"/>
      <c r="G61" s="44"/>
      <c r="H61" s="40">
        <f>D61</f>
        <v>51</v>
      </c>
      <c r="I61" s="35"/>
      <c r="J61" s="36"/>
      <c r="K61" s="36"/>
      <c r="L61" s="159"/>
      <c r="M61" s="160"/>
      <c r="N61" s="149"/>
      <c r="O61" s="150"/>
    </row>
    <row r="62" spans="1:15" s="41" customFormat="1" ht="15" customHeight="1">
      <c r="A62" s="89"/>
      <c r="B62" s="133"/>
      <c r="C62" s="43" t="s">
        <v>237</v>
      </c>
      <c r="D62" s="73"/>
      <c r="E62" s="73"/>
      <c r="G62" s="44"/>
      <c r="H62" s="40">
        <v>0</v>
      </c>
      <c r="I62" s="35"/>
      <c r="J62" s="36"/>
      <c r="K62" s="36"/>
      <c r="L62" s="159"/>
      <c r="M62" s="160"/>
      <c r="N62" s="149"/>
      <c r="O62" s="150"/>
    </row>
    <row r="63" spans="1:15" ht="15" customHeight="1" thickBot="1">
      <c r="A63" s="89"/>
      <c r="B63" s="133"/>
      <c r="C63" s="43"/>
      <c r="D63" s="35"/>
      <c r="E63" s="35"/>
      <c r="F63" s="35"/>
      <c r="G63" s="44"/>
      <c r="H63" s="45">
        <f>SUM(H61:H62)</f>
        <v>51</v>
      </c>
      <c r="I63" s="35"/>
      <c r="J63" s="36"/>
      <c r="K63" s="36"/>
      <c r="L63" s="159"/>
      <c r="M63" s="160"/>
      <c r="N63" s="149"/>
      <c r="O63" s="150"/>
    </row>
    <row r="64" spans="1:15" ht="15" customHeight="1" thickTop="1">
      <c r="A64" s="88"/>
      <c r="D64" s="35"/>
      <c r="E64" s="35"/>
      <c r="F64" s="35"/>
      <c r="G64" s="33"/>
      <c r="H64" s="39"/>
      <c r="I64" s="35"/>
      <c r="J64" s="36"/>
      <c r="K64" s="36"/>
      <c r="L64" s="155"/>
      <c r="M64" s="156"/>
      <c r="N64" s="145"/>
      <c r="O64" s="146"/>
    </row>
    <row r="65" spans="1:15" s="41" customFormat="1" ht="15" customHeight="1">
      <c r="A65" s="88"/>
      <c r="B65" s="131"/>
      <c r="C65" s="942" t="s">
        <v>256</v>
      </c>
      <c r="D65" s="952"/>
      <c r="E65" s="952"/>
      <c r="F65" s="952"/>
      <c r="G65" s="33" t="s">
        <v>11</v>
      </c>
      <c r="H65" s="34">
        <f>H68</f>
        <v>0</v>
      </c>
      <c r="I65" s="35"/>
      <c r="J65" s="36"/>
      <c r="K65" s="36"/>
      <c r="L65" s="155">
        <v>50</v>
      </c>
      <c r="M65" s="156">
        <f>H65*L65</f>
        <v>0</v>
      </c>
      <c r="N65" s="145">
        <v>75</v>
      </c>
      <c r="O65" s="146">
        <f>H65*N65</f>
        <v>0</v>
      </c>
    </row>
    <row r="66" spans="1:15" s="41" customFormat="1" ht="15" customHeight="1">
      <c r="A66" s="89"/>
      <c r="B66" s="133"/>
      <c r="C66" s="43"/>
      <c r="D66" s="73">
        <v>0</v>
      </c>
      <c r="E66" s="73"/>
      <c r="F66" s="42"/>
      <c r="G66" s="44"/>
      <c r="H66" s="40">
        <f>D66</f>
        <v>0</v>
      </c>
      <c r="I66" s="35"/>
      <c r="J66" s="36"/>
      <c r="K66" s="36"/>
      <c r="L66" s="159"/>
      <c r="M66" s="160"/>
      <c r="N66" s="149"/>
      <c r="O66" s="150"/>
    </row>
    <row r="67" spans="1:15" s="41" customFormat="1" ht="15" customHeight="1">
      <c r="A67" s="89"/>
      <c r="B67" s="133"/>
      <c r="C67" s="43" t="s">
        <v>237</v>
      </c>
      <c r="D67" s="73"/>
      <c r="E67" s="73"/>
      <c r="G67" s="44"/>
      <c r="H67" s="40">
        <v>0</v>
      </c>
      <c r="I67" s="35"/>
      <c r="J67" s="36"/>
      <c r="K67" s="36"/>
      <c r="L67" s="159"/>
      <c r="M67" s="160"/>
      <c r="N67" s="149"/>
      <c r="O67" s="150"/>
    </row>
    <row r="68" spans="1:15" s="41" customFormat="1" ht="15" customHeight="1" thickBot="1">
      <c r="A68" s="89"/>
      <c r="B68" s="133"/>
      <c r="C68" s="43"/>
      <c r="D68" s="35"/>
      <c r="E68" s="35"/>
      <c r="F68" s="35"/>
      <c r="G68" s="44"/>
      <c r="H68" s="45">
        <f>SUM(H66:H67)</f>
        <v>0</v>
      </c>
      <c r="I68" s="35"/>
      <c r="J68" s="36"/>
      <c r="K68" s="36"/>
      <c r="L68" s="159"/>
      <c r="M68" s="160"/>
      <c r="N68" s="149"/>
      <c r="O68" s="150"/>
    </row>
    <row r="69" spans="1:15" s="41" customFormat="1" ht="15" customHeight="1" thickTop="1">
      <c r="A69" s="89"/>
      <c r="B69" s="133"/>
      <c r="C69" s="43"/>
      <c r="D69" s="35"/>
      <c r="E69" s="35"/>
      <c r="F69" s="35"/>
      <c r="G69" s="44"/>
      <c r="H69" s="140"/>
      <c r="I69" s="35"/>
      <c r="J69" s="36"/>
      <c r="K69" s="36"/>
      <c r="L69" s="159"/>
      <c r="M69" s="160"/>
      <c r="N69" s="149"/>
      <c r="O69" s="150"/>
    </row>
    <row r="70" spans="1:15" s="41" customFormat="1" ht="15" customHeight="1">
      <c r="A70" s="88"/>
      <c r="B70" s="131"/>
      <c r="C70" s="942" t="s">
        <v>281</v>
      </c>
      <c r="D70" s="952"/>
      <c r="E70" s="952"/>
      <c r="F70" s="952"/>
      <c r="G70" s="33" t="s">
        <v>282</v>
      </c>
      <c r="H70" s="34">
        <f>H73</f>
        <v>44</v>
      </c>
      <c r="I70" s="35"/>
      <c r="J70" s="36"/>
      <c r="K70" s="36"/>
      <c r="L70" s="155">
        <v>12</v>
      </c>
      <c r="M70" s="156">
        <f>H70*L70</f>
        <v>528</v>
      </c>
      <c r="N70" s="145">
        <f>L70*1.5</f>
        <v>18</v>
      </c>
      <c r="O70" s="146">
        <f>H70*N70</f>
        <v>792</v>
      </c>
    </row>
    <row r="71" spans="1:15" s="41" customFormat="1" ht="15" customHeight="1">
      <c r="A71" s="89"/>
      <c r="B71" s="133"/>
      <c r="C71" s="43"/>
      <c r="D71" s="73">
        <v>44</v>
      </c>
      <c r="E71" s="73"/>
      <c r="F71" s="42"/>
      <c r="G71" s="44"/>
      <c r="H71" s="40">
        <f>D71</f>
        <v>44</v>
      </c>
      <c r="I71" s="35"/>
      <c r="J71" s="36"/>
      <c r="K71" s="36"/>
      <c r="L71" s="159"/>
      <c r="M71" s="160"/>
      <c r="N71" s="149"/>
      <c r="O71" s="150"/>
    </row>
    <row r="72" spans="1:15" s="41" customFormat="1" ht="15" customHeight="1">
      <c r="A72" s="89"/>
      <c r="B72" s="133"/>
      <c r="C72" s="43" t="s">
        <v>237</v>
      </c>
      <c r="D72" s="73"/>
      <c r="E72" s="73"/>
      <c r="G72" s="44"/>
      <c r="H72" s="40">
        <v>0</v>
      </c>
      <c r="I72" s="35"/>
      <c r="J72" s="36"/>
      <c r="K72" s="36"/>
      <c r="L72" s="159"/>
      <c r="M72" s="160"/>
      <c r="N72" s="149"/>
      <c r="O72" s="150"/>
    </row>
    <row r="73" spans="1:15" s="41" customFormat="1" ht="15" customHeight="1" thickBot="1">
      <c r="A73" s="89"/>
      <c r="B73" s="133"/>
      <c r="C73" s="43"/>
      <c r="D73" s="35"/>
      <c r="E73" s="35"/>
      <c r="F73" s="35"/>
      <c r="G73" s="44"/>
      <c r="H73" s="45">
        <f>SUM(H71:H72)</f>
        <v>44</v>
      </c>
      <c r="I73" s="35"/>
      <c r="J73" s="36"/>
      <c r="K73" s="36"/>
      <c r="L73" s="159"/>
      <c r="M73" s="160"/>
      <c r="N73" s="149"/>
      <c r="O73" s="150"/>
    </row>
    <row r="74" spans="1:15" s="41" customFormat="1" ht="15" customHeight="1" thickTop="1">
      <c r="A74" s="88"/>
      <c r="B74" s="131"/>
      <c r="C74" s="38"/>
      <c r="D74" s="35"/>
      <c r="E74" s="35"/>
      <c r="F74" s="35"/>
      <c r="G74" s="33"/>
      <c r="H74" s="39"/>
      <c r="I74" s="35"/>
      <c r="J74" s="36"/>
      <c r="K74" s="36"/>
      <c r="L74" s="155"/>
      <c r="M74" s="156"/>
      <c r="N74" s="145"/>
      <c r="O74" s="146"/>
    </row>
    <row r="75" spans="1:15" s="41" customFormat="1" ht="15" customHeight="1">
      <c r="A75" s="88"/>
      <c r="B75" s="131"/>
      <c r="C75" s="942" t="s">
        <v>257</v>
      </c>
      <c r="D75" s="952"/>
      <c r="E75" s="952"/>
      <c r="F75" s="952"/>
      <c r="G75" s="33" t="s">
        <v>11</v>
      </c>
      <c r="H75" s="34">
        <f>H78</f>
        <v>0</v>
      </c>
      <c r="I75" s="35"/>
      <c r="J75" s="36"/>
      <c r="K75" s="36"/>
      <c r="L75" s="155">
        <v>15</v>
      </c>
      <c r="M75" s="156">
        <f>H75*L75</f>
        <v>0</v>
      </c>
      <c r="N75" s="145">
        <v>22.5</v>
      </c>
      <c r="O75" s="146">
        <f>H75*N75</f>
        <v>0</v>
      </c>
    </row>
    <row r="76" spans="1:15" s="41" customFormat="1" ht="15" customHeight="1">
      <c r="A76" s="89"/>
      <c r="B76" s="133"/>
      <c r="C76" s="43"/>
      <c r="D76" s="73">
        <v>0</v>
      </c>
      <c r="E76" s="73"/>
      <c r="F76" s="42"/>
      <c r="G76" s="44"/>
      <c r="H76" s="40">
        <f>D76</f>
        <v>0</v>
      </c>
      <c r="I76" s="35"/>
      <c r="J76" s="36"/>
      <c r="K76" s="36"/>
      <c r="L76" s="159"/>
      <c r="M76" s="160"/>
      <c r="N76" s="149"/>
      <c r="O76" s="150"/>
    </row>
    <row r="77" spans="1:15" s="41" customFormat="1" ht="15" customHeight="1">
      <c r="A77" s="89"/>
      <c r="B77" s="133"/>
      <c r="C77" s="43" t="s">
        <v>237</v>
      </c>
      <c r="D77" s="73"/>
      <c r="E77" s="73"/>
      <c r="G77" s="44"/>
      <c r="H77" s="40">
        <v>0</v>
      </c>
      <c r="I77" s="35"/>
      <c r="J77" s="36"/>
      <c r="K77" s="36"/>
      <c r="L77" s="159"/>
      <c r="M77" s="160"/>
      <c r="N77" s="149"/>
      <c r="O77" s="150"/>
    </row>
    <row r="78" spans="1:15" s="41" customFormat="1" ht="15" customHeight="1" thickBot="1">
      <c r="A78" s="89"/>
      <c r="B78" s="133"/>
      <c r="C78" s="43"/>
      <c r="D78" s="35"/>
      <c r="E78" s="35"/>
      <c r="F78" s="35"/>
      <c r="G78" s="44"/>
      <c r="H78" s="45">
        <f>SUM(H76:H77)</f>
        <v>0</v>
      </c>
      <c r="I78" s="35"/>
      <c r="J78" s="36"/>
      <c r="K78" s="36"/>
      <c r="L78" s="159"/>
      <c r="M78" s="160"/>
      <c r="N78" s="149"/>
      <c r="O78" s="150"/>
    </row>
    <row r="79" spans="1:15" s="41" customFormat="1" ht="15" customHeight="1" thickTop="1">
      <c r="A79" s="89"/>
      <c r="B79" s="133"/>
      <c r="C79" s="43"/>
      <c r="D79" s="35"/>
      <c r="E79" s="35"/>
      <c r="F79" s="35"/>
      <c r="G79" s="44"/>
      <c r="H79" s="140"/>
      <c r="I79" s="35"/>
      <c r="J79" s="36"/>
      <c r="K79" s="36"/>
      <c r="L79" s="159"/>
      <c r="M79" s="160"/>
      <c r="N79" s="149"/>
      <c r="O79" s="150"/>
    </row>
    <row r="80" spans="1:15" s="41" customFormat="1" ht="15" customHeight="1">
      <c r="A80" s="88"/>
      <c r="B80" s="131"/>
      <c r="C80" s="942" t="s">
        <v>235</v>
      </c>
      <c r="D80" s="952"/>
      <c r="E80" s="952"/>
      <c r="F80" s="952"/>
      <c r="G80" s="33" t="s">
        <v>11</v>
      </c>
      <c r="H80" s="34">
        <f>H83</f>
        <v>862.75599999999997</v>
      </c>
      <c r="I80" s="35"/>
      <c r="J80" s="36"/>
      <c r="K80" s="36"/>
      <c r="L80" s="155">
        <v>1</v>
      </c>
      <c r="M80" s="156">
        <f>H80*L80</f>
        <v>862.75599999999997</v>
      </c>
      <c r="N80" s="145">
        <v>1.5</v>
      </c>
      <c r="O80" s="146">
        <f>N80*H80</f>
        <v>1294.134</v>
      </c>
    </row>
    <row r="81" spans="1:18" s="41" customFormat="1" ht="15" customHeight="1">
      <c r="A81" s="89"/>
      <c r="B81" s="133"/>
      <c r="C81" s="43"/>
      <c r="D81" s="73">
        <v>180</v>
      </c>
      <c r="E81" s="73">
        <v>4</v>
      </c>
      <c r="F81" s="42"/>
      <c r="G81" s="44"/>
      <c r="H81" s="40">
        <f>D81*E81</f>
        <v>720</v>
      </c>
      <c r="I81" s="35"/>
      <c r="J81" s="36"/>
      <c r="K81" s="36"/>
      <c r="L81" s="159"/>
      <c r="M81" s="160"/>
      <c r="N81" s="149"/>
      <c r="O81" s="150"/>
      <c r="Q81" s="35"/>
    </row>
    <row r="82" spans="1:18" s="41" customFormat="1" ht="15" customHeight="1">
      <c r="A82" s="89"/>
      <c r="B82" s="133"/>
      <c r="C82" s="43" t="s">
        <v>237</v>
      </c>
      <c r="D82" s="73">
        <f>H13</f>
        <v>17.8445</v>
      </c>
      <c r="E82" s="73">
        <v>8</v>
      </c>
      <c r="G82" s="44"/>
      <c r="H82" s="40">
        <f>D82*E82</f>
        <v>142.756</v>
      </c>
      <c r="I82" s="35"/>
      <c r="J82" s="36"/>
      <c r="K82" s="36"/>
      <c r="L82" s="159"/>
      <c r="M82" s="160"/>
      <c r="N82" s="149"/>
      <c r="O82" s="150"/>
    </row>
    <row r="83" spans="1:18" s="41" customFormat="1" ht="15" customHeight="1" thickBot="1">
      <c r="A83" s="89"/>
      <c r="B83" s="133"/>
      <c r="C83" s="43"/>
      <c r="D83" s="35"/>
      <c r="E83" s="35"/>
      <c r="F83" s="35"/>
      <c r="G83" s="44"/>
      <c r="H83" s="45">
        <f>SUM(H81:H82)</f>
        <v>862.75599999999997</v>
      </c>
      <c r="I83" s="35"/>
      <c r="J83" s="36"/>
      <c r="K83" s="36"/>
      <c r="L83" s="159"/>
      <c r="M83" s="160"/>
      <c r="N83" s="149"/>
      <c r="O83" s="150"/>
    </row>
    <row r="84" spans="1:18" s="41" customFormat="1" ht="15" customHeight="1" thickTop="1">
      <c r="A84" s="88"/>
      <c r="B84" s="131"/>
      <c r="C84" s="38"/>
      <c r="D84" s="35"/>
      <c r="E84" s="35"/>
      <c r="F84" s="35"/>
      <c r="G84" s="33"/>
      <c r="H84" s="39"/>
      <c r="I84" s="35"/>
      <c r="J84" s="36"/>
      <c r="K84" s="36"/>
      <c r="L84" s="155"/>
      <c r="M84" s="156"/>
      <c r="N84" s="145"/>
      <c r="O84" s="146"/>
    </row>
    <row r="85" spans="1:18" s="41" customFormat="1" ht="15" customHeight="1">
      <c r="A85" s="91"/>
      <c r="B85" s="23" t="s">
        <v>262</v>
      </c>
      <c r="C85" s="16"/>
      <c r="D85" s="17"/>
      <c r="E85" s="17"/>
      <c r="F85" s="17"/>
      <c r="G85" s="18"/>
      <c r="H85" s="19"/>
      <c r="I85" s="17"/>
      <c r="J85" s="20"/>
      <c r="K85" s="20"/>
      <c r="L85" s="157"/>
      <c r="M85" s="158"/>
      <c r="N85" s="147"/>
      <c r="O85" s="148"/>
    </row>
    <row r="86" spans="1:18" s="41" customFormat="1" ht="15" customHeight="1">
      <c r="A86" s="91"/>
      <c r="B86" s="130"/>
      <c r="C86" s="24"/>
      <c r="D86" s="17"/>
      <c r="E86" s="17"/>
      <c r="F86" s="17"/>
      <c r="G86" s="18"/>
      <c r="H86" s="19"/>
      <c r="I86" s="17"/>
      <c r="J86" s="20"/>
      <c r="K86" s="20"/>
      <c r="L86" s="157"/>
      <c r="M86" s="158"/>
      <c r="N86" s="147"/>
      <c r="O86" s="148"/>
    </row>
    <row r="87" spans="1:18" s="41" customFormat="1" ht="15" customHeight="1">
      <c r="A87" s="91"/>
      <c r="B87" s="130"/>
      <c r="C87" s="953" t="s">
        <v>263</v>
      </c>
      <c r="D87" s="954"/>
      <c r="E87" s="954"/>
      <c r="F87" s="954"/>
      <c r="G87" s="18" t="s">
        <v>10</v>
      </c>
      <c r="H87" s="25">
        <v>0</v>
      </c>
      <c r="I87" s="17"/>
      <c r="J87" s="20"/>
      <c r="K87" s="20"/>
      <c r="L87" s="157">
        <v>200</v>
      </c>
      <c r="M87" s="158" t="s">
        <v>264</v>
      </c>
      <c r="N87" s="147">
        <v>300</v>
      </c>
      <c r="O87" s="148" t="s">
        <v>264</v>
      </c>
    </row>
    <row r="88" spans="1:18" s="41" customFormat="1" ht="15" customHeight="1">
      <c r="A88" s="91"/>
      <c r="B88" s="130"/>
      <c r="C88" s="24"/>
      <c r="D88" s="22"/>
      <c r="E88" s="22"/>
      <c r="F88" s="22"/>
      <c r="G88" s="18"/>
      <c r="H88" s="21">
        <v>0</v>
      </c>
      <c r="I88" s="17"/>
      <c r="J88" s="20"/>
      <c r="K88" s="20"/>
      <c r="L88" s="157"/>
      <c r="M88" s="158"/>
      <c r="N88" s="147"/>
      <c r="O88" s="148"/>
    </row>
    <row r="89" spans="1:18" s="41" customFormat="1" ht="15" customHeight="1">
      <c r="A89" s="91"/>
      <c r="B89" s="130"/>
      <c r="C89" s="24"/>
      <c r="D89" s="22"/>
      <c r="E89" s="22"/>
      <c r="F89" s="22"/>
      <c r="G89" s="18"/>
      <c r="H89" s="25"/>
      <c r="I89" s="17"/>
      <c r="J89" s="20"/>
      <c r="K89" s="20"/>
      <c r="L89" s="157"/>
      <c r="M89" s="158"/>
      <c r="N89" s="147"/>
      <c r="O89" s="148"/>
    </row>
    <row r="90" spans="1:18" s="41" customFormat="1" ht="15" customHeight="1">
      <c r="A90" s="91"/>
      <c r="B90" s="166" t="s">
        <v>134</v>
      </c>
      <c r="C90" s="24"/>
      <c r="D90" s="22"/>
      <c r="E90" s="22"/>
      <c r="F90" s="22"/>
      <c r="G90" s="18"/>
      <c r="H90" s="25"/>
      <c r="I90" s="17"/>
      <c r="J90" s="20"/>
      <c r="K90" s="20"/>
      <c r="L90" s="157"/>
      <c r="M90" s="158"/>
      <c r="N90" s="147"/>
      <c r="O90" s="148"/>
    </row>
    <row r="91" spans="1:18" s="41" customFormat="1" ht="15" customHeight="1">
      <c r="A91" s="91"/>
      <c r="B91" s="166"/>
      <c r="C91" s="24"/>
      <c r="D91" s="22" t="s">
        <v>135</v>
      </c>
      <c r="E91" s="22" t="s">
        <v>136</v>
      </c>
      <c r="F91" s="22" t="s">
        <v>137</v>
      </c>
      <c r="G91" s="18"/>
      <c r="H91" s="167"/>
      <c r="I91" s="17"/>
      <c r="J91" s="20"/>
      <c r="K91" s="20"/>
      <c r="L91" s="157"/>
      <c r="M91" s="158"/>
      <c r="N91" s="147"/>
      <c r="O91" s="148"/>
    </row>
    <row r="92" spans="1:18" s="41" customFormat="1" ht="15" customHeight="1">
      <c r="A92" s="91"/>
      <c r="B92" s="130"/>
      <c r="C92" s="86"/>
      <c r="D92" s="85">
        <v>2</v>
      </c>
      <c r="E92" s="85">
        <v>8</v>
      </c>
      <c r="F92" s="85">
        <v>2</v>
      </c>
      <c r="G92" s="18"/>
      <c r="H92" s="168">
        <f>D92*E92*F92</f>
        <v>32</v>
      </c>
      <c r="I92" s="87"/>
      <c r="J92" s="20"/>
      <c r="K92" s="20"/>
      <c r="L92" s="157">
        <v>55</v>
      </c>
      <c r="M92" s="158">
        <f>H92*L92</f>
        <v>1760</v>
      </c>
      <c r="N92" s="147">
        <v>82.5</v>
      </c>
      <c r="O92" s="148">
        <f>N92*H92</f>
        <v>2640</v>
      </c>
    </row>
    <row r="93" spans="1:18" s="41" customFormat="1" ht="15" customHeight="1">
      <c r="A93" s="91"/>
      <c r="B93" s="130"/>
      <c r="C93" s="86"/>
      <c r="D93" s="85"/>
      <c r="E93" s="85"/>
      <c r="F93" s="85"/>
      <c r="G93" s="18"/>
      <c r="H93" s="21"/>
      <c r="I93" s="87"/>
      <c r="J93" s="20"/>
      <c r="K93" s="20"/>
      <c r="L93" s="161">
        <f>M94/H8</f>
        <v>0</v>
      </c>
      <c r="M93" s="158"/>
      <c r="N93" s="151">
        <f>O94/H8</f>
        <v>0</v>
      </c>
      <c r="O93" s="148"/>
      <c r="R93" s="164"/>
    </row>
    <row r="94" spans="1:18" ht="15" customHeight="1">
      <c r="A94" s="92"/>
      <c r="B94" s="135"/>
      <c r="C94" s="26"/>
      <c r="D94" s="27"/>
      <c r="E94" s="27"/>
      <c r="F94" s="27"/>
      <c r="G94" s="28"/>
      <c r="H94" s="29"/>
      <c r="I94" s="27"/>
      <c r="J94" s="30"/>
      <c r="K94" s="31"/>
      <c r="L94" s="162" t="s">
        <v>140</v>
      </c>
      <c r="M94" s="162"/>
      <c r="N94" s="152" t="s">
        <v>140</v>
      </c>
      <c r="O94" s="152"/>
      <c r="P94" s="169"/>
      <c r="Q94" s="170"/>
      <c r="R94" s="171"/>
    </row>
    <row r="95" spans="1:18" s="41" customFormat="1" ht="15" customHeight="1">
      <c r="A95" s="93"/>
      <c r="B95" s="131"/>
      <c r="C95" s="38"/>
      <c r="D95" s="66"/>
      <c r="E95" s="64"/>
      <c r="F95" s="79"/>
      <c r="G95" s="80"/>
      <c r="H95" s="37"/>
      <c r="I95" s="63"/>
      <c r="J95" s="64"/>
      <c r="K95" s="64"/>
      <c r="L95" s="64"/>
      <c r="M95" s="82"/>
    </row>
    <row r="96" spans="1:18" s="41" customFormat="1" ht="15" customHeight="1">
      <c r="A96" s="93"/>
      <c r="B96" s="131"/>
      <c r="C96" s="38"/>
      <c r="D96" s="66"/>
      <c r="E96" s="64"/>
      <c r="F96" s="79"/>
      <c r="G96" s="80"/>
      <c r="H96" s="37"/>
      <c r="I96" s="63"/>
      <c r="J96" s="64"/>
      <c r="K96" s="64"/>
      <c r="L96" s="64"/>
      <c r="M96" s="82"/>
    </row>
    <row r="97" spans="1:15" s="41" customFormat="1" ht="15" customHeight="1">
      <c r="A97" s="93"/>
      <c r="B97" s="131"/>
      <c r="C97" s="38"/>
      <c r="D97" s="66"/>
      <c r="E97" s="64"/>
      <c r="F97" s="79"/>
      <c r="G97" s="80"/>
      <c r="H97" s="37"/>
      <c r="I97" s="63"/>
      <c r="J97" s="64"/>
      <c r="K97" s="64"/>
      <c r="L97" s="64"/>
      <c r="M97" s="82"/>
    </row>
    <row r="98" spans="1:15" s="41" customFormat="1" ht="15" customHeight="1">
      <c r="A98" s="93"/>
      <c r="B98" s="131"/>
      <c r="C98" s="38"/>
      <c r="D98" s="66"/>
      <c r="E98" s="64"/>
      <c r="F98" s="79"/>
      <c r="G98" s="80"/>
      <c r="H98" s="37"/>
      <c r="I98" s="63"/>
      <c r="J98" s="64"/>
      <c r="K98" s="64"/>
      <c r="L98" s="64"/>
      <c r="M98" s="82"/>
    </row>
    <row r="99" spans="1:15" s="41" customFormat="1" ht="15" customHeight="1">
      <c r="A99" s="93"/>
      <c r="B99" s="131"/>
      <c r="C99" s="38"/>
      <c r="D99" s="66"/>
      <c r="E99" s="64"/>
      <c r="F99" s="79"/>
      <c r="G99" s="80"/>
      <c r="H99" s="37"/>
      <c r="I99" s="63"/>
      <c r="J99" s="64"/>
      <c r="K99" s="64"/>
      <c r="L99" s="64"/>
      <c r="M99" s="82"/>
    </row>
    <row r="100" spans="1:15" s="41" customFormat="1" ht="15" customHeight="1">
      <c r="A100" s="93"/>
      <c r="B100" s="131"/>
      <c r="C100" s="38"/>
      <c r="D100" s="66"/>
      <c r="E100" s="64"/>
      <c r="F100" s="79"/>
      <c r="G100" s="80"/>
      <c r="H100" s="37"/>
      <c r="I100" s="63"/>
      <c r="J100" s="64"/>
      <c r="K100" s="64"/>
      <c r="L100" s="64"/>
      <c r="M100" s="82"/>
      <c r="N100" s="37"/>
      <c r="O100" s="37"/>
    </row>
    <row r="101" spans="1:15" s="41" customFormat="1" ht="15" customHeight="1">
      <c r="A101" s="93"/>
      <c r="B101" s="131"/>
      <c r="C101" s="38"/>
      <c r="D101" s="66"/>
      <c r="E101" s="64"/>
      <c r="F101" s="79"/>
      <c r="G101" s="80"/>
      <c r="H101" s="37"/>
      <c r="I101" s="63"/>
      <c r="J101" s="64"/>
      <c r="K101" s="64"/>
      <c r="L101" s="64"/>
      <c r="M101" s="82"/>
      <c r="N101" s="37"/>
      <c r="O101" s="37"/>
    </row>
    <row r="102" spans="1:15" s="41" customFormat="1" ht="15" customHeight="1">
      <c r="A102" s="93"/>
      <c r="B102" s="131"/>
      <c r="C102" s="38"/>
      <c r="D102" s="66"/>
      <c r="E102" s="64"/>
      <c r="F102" s="79"/>
      <c r="G102" s="80"/>
      <c r="H102" s="37"/>
      <c r="I102" s="63"/>
      <c r="J102" s="64"/>
      <c r="K102" s="64"/>
      <c r="L102" s="64"/>
      <c r="M102" s="82"/>
    </row>
    <row r="103" spans="1:15" s="41" customFormat="1" ht="15" customHeight="1">
      <c r="A103" s="93"/>
      <c r="B103" s="131"/>
      <c r="C103" s="38"/>
      <c r="D103" s="66"/>
      <c r="E103" s="64"/>
      <c r="F103" s="79"/>
      <c r="G103" s="80"/>
      <c r="H103" s="37"/>
      <c r="I103" s="63"/>
      <c r="J103" s="64"/>
      <c r="K103" s="64"/>
      <c r="L103" s="64"/>
      <c r="M103" s="82"/>
    </row>
    <row r="104" spans="1:15" s="41" customFormat="1" ht="15" customHeight="1">
      <c r="A104" s="93"/>
      <c r="B104" s="131"/>
      <c r="C104" s="38"/>
      <c r="D104" s="66"/>
      <c r="E104" s="64"/>
      <c r="F104" s="79"/>
      <c r="G104" s="80"/>
      <c r="H104" s="37"/>
      <c r="I104" s="63"/>
      <c r="J104" s="64"/>
      <c r="K104" s="64"/>
      <c r="L104" s="64"/>
      <c r="M104" s="82"/>
    </row>
    <row r="105" spans="1:15" s="41" customFormat="1" ht="15" customHeight="1">
      <c r="A105" s="93"/>
      <c r="B105" s="131"/>
      <c r="C105" s="38"/>
      <c r="D105" s="66"/>
      <c r="E105" s="64"/>
      <c r="F105" s="79"/>
      <c r="G105" s="80"/>
      <c r="H105" s="37"/>
      <c r="I105" s="63"/>
      <c r="J105" s="64"/>
      <c r="K105" s="64"/>
      <c r="L105" s="64"/>
      <c r="M105" s="82"/>
    </row>
    <row r="106" spans="1:15" s="41" customFormat="1" ht="15" customHeight="1">
      <c r="A106" s="93"/>
      <c r="B106" s="131"/>
      <c r="C106" s="38"/>
      <c r="D106" s="66"/>
      <c r="E106" s="64"/>
      <c r="F106" s="79"/>
      <c r="G106" s="80"/>
      <c r="H106" s="37"/>
      <c r="I106" s="63"/>
      <c r="J106" s="64"/>
      <c r="K106" s="64"/>
      <c r="L106" s="64"/>
      <c r="M106" s="82"/>
    </row>
    <row r="107" spans="1:15" s="41" customFormat="1" ht="15" customHeight="1">
      <c r="A107" s="93"/>
      <c r="B107" s="131"/>
      <c r="C107" s="38"/>
      <c r="D107" s="66"/>
      <c r="E107" s="64"/>
      <c r="F107" s="79"/>
      <c r="G107" s="80"/>
      <c r="H107" s="37"/>
      <c r="I107" s="63"/>
      <c r="J107" s="64"/>
      <c r="K107" s="64"/>
      <c r="L107" s="64"/>
      <c r="M107" s="82"/>
    </row>
    <row r="108" spans="1:15" s="41" customFormat="1" ht="15" customHeight="1">
      <c r="A108" s="93"/>
      <c r="B108" s="131"/>
      <c r="C108" s="38"/>
      <c r="D108" s="66"/>
      <c r="E108" s="64"/>
      <c r="F108" s="79"/>
      <c r="G108" s="80"/>
      <c r="H108" s="37"/>
      <c r="I108" s="63"/>
      <c r="J108" s="64"/>
      <c r="K108" s="64"/>
      <c r="L108" s="64"/>
      <c r="M108" s="82"/>
    </row>
    <row r="109" spans="1:15" s="41" customFormat="1" ht="15" customHeight="1">
      <c r="A109" s="93"/>
      <c r="B109" s="131"/>
      <c r="C109" s="38"/>
      <c r="D109" s="66"/>
      <c r="E109" s="64"/>
      <c r="F109" s="79"/>
      <c r="G109" s="80"/>
      <c r="H109" s="37"/>
      <c r="I109" s="63"/>
      <c r="J109" s="64"/>
      <c r="K109" s="64"/>
      <c r="L109" s="64"/>
      <c r="M109" s="82"/>
    </row>
    <row r="110" spans="1:15" s="41" customFormat="1" ht="15" customHeight="1">
      <c r="A110" s="93"/>
      <c r="B110" s="131"/>
      <c r="C110" s="38"/>
      <c r="D110" s="66"/>
      <c r="E110" s="64"/>
      <c r="F110" s="79"/>
      <c r="G110" s="80"/>
      <c r="H110" s="37"/>
      <c r="I110" s="63"/>
      <c r="J110" s="64"/>
      <c r="K110" s="64"/>
      <c r="L110" s="64"/>
      <c r="M110" s="82"/>
    </row>
    <row r="111" spans="1:15" s="41" customFormat="1" ht="15" customHeight="1">
      <c r="A111" s="93"/>
      <c r="B111" s="131"/>
      <c r="C111" s="38"/>
      <c r="D111" s="66"/>
      <c r="E111" s="64"/>
      <c r="F111" s="79"/>
      <c r="G111" s="80"/>
      <c r="H111" s="37"/>
      <c r="I111" s="63"/>
      <c r="J111" s="64"/>
      <c r="K111" s="64"/>
      <c r="L111" s="64"/>
      <c r="M111" s="82"/>
    </row>
    <row r="112" spans="1:15" s="41" customFormat="1" ht="15" customHeight="1">
      <c r="A112" s="93"/>
      <c r="B112" s="131"/>
      <c r="C112" s="38"/>
      <c r="D112" s="66"/>
      <c r="E112" s="64"/>
      <c r="F112" s="79"/>
      <c r="G112" s="80"/>
      <c r="H112" s="37"/>
      <c r="I112" s="63"/>
      <c r="J112" s="64"/>
      <c r="K112" s="64"/>
      <c r="L112" s="64"/>
      <c r="M112" s="82"/>
    </row>
    <row r="113" spans="1:15" s="41" customFormat="1" ht="15" customHeight="1">
      <c r="A113" s="93"/>
      <c r="B113" s="131"/>
      <c r="C113" s="38"/>
      <c r="D113" s="66"/>
      <c r="E113" s="64"/>
      <c r="F113" s="79"/>
      <c r="G113" s="80"/>
      <c r="H113" s="37"/>
      <c r="I113" s="63"/>
      <c r="J113" s="64"/>
      <c r="K113" s="64"/>
      <c r="L113" s="64"/>
      <c r="M113" s="82"/>
    </row>
    <row r="114" spans="1:15" s="41" customFormat="1" ht="15" customHeight="1">
      <c r="A114" s="93"/>
      <c r="B114" s="131"/>
      <c r="C114" s="38"/>
      <c r="D114" s="66"/>
      <c r="E114" s="64"/>
      <c r="F114" s="79"/>
      <c r="G114" s="80"/>
      <c r="H114" s="37"/>
      <c r="I114" s="63"/>
      <c r="J114" s="64"/>
      <c r="K114" s="64"/>
      <c r="L114" s="64"/>
      <c r="M114" s="82"/>
    </row>
    <row r="115" spans="1:15" s="41" customFormat="1" ht="15" customHeight="1">
      <c r="A115" s="93"/>
      <c r="B115" s="131"/>
      <c r="C115" s="38"/>
      <c r="D115" s="66"/>
      <c r="E115" s="64"/>
      <c r="F115" s="79"/>
      <c r="G115" s="80"/>
      <c r="H115" s="37"/>
      <c r="I115" s="63"/>
      <c r="J115" s="64"/>
      <c r="K115" s="64"/>
      <c r="L115" s="64"/>
      <c r="M115" s="82"/>
    </row>
    <row r="116" spans="1:15" s="41" customFormat="1" ht="15" customHeight="1">
      <c r="A116" s="93"/>
      <c r="B116" s="131"/>
      <c r="C116" s="38"/>
      <c r="D116" s="66"/>
      <c r="E116" s="64"/>
      <c r="F116" s="79"/>
      <c r="G116" s="80"/>
      <c r="H116" s="37"/>
      <c r="I116" s="63"/>
      <c r="J116" s="64"/>
      <c r="K116" s="64"/>
      <c r="L116" s="64"/>
      <c r="M116" s="82"/>
    </row>
    <row r="117" spans="1:15" s="41" customFormat="1" ht="15" customHeight="1">
      <c r="A117" s="93"/>
      <c r="B117" s="131"/>
      <c r="C117" s="38"/>
      <c r="D117" s="66"/>
      <c r="E117" s="64"/>
      <c r="F117" s="79"/>
      <c r="G117" s="80"/>
      <c r="H117" s="37"/>
      <c r="I117" s="63"/>
      <c r="J117" s="64"/>
      <c r="K117" s="64"/>
      <c r="L117" s="64"/>
      <c r="M117" s="82"/>
    </row>
    <row r="118" spans="1:15" s="41" customFormat="1" ht="15" customHeight="1">
      <c r="A118" s="93"/>
      <c r="B118" s="131"/>
      <c r="C118" s="38"/>
      <c r="D118" s="66"/>
      <c r="E118" s="64"/>
      <c r="F118" s="79"/>
      <c r="G118" s="80"/>
      <c r="H118" s="37"/>
      <c r="I118" s="63"/>
      <c r="J118" s="64"/>
      <c r="K118" s="64"/>
      <c r="L118" s="64"/>
      <c r="M118" s="82"/>
    </row>
    <row r="119" spans="1:15" s="41" customFormat="1" ht="15" customHeight="1">
      <c r="A119" s="93"/>
      <c r="B119" s="131"/>
      <c r="C119" s="38"/>
      <c r="D119" s="66"/>
      <c r="E119" s="64"/>
      <c r="F119" s="79"/>
      <c r="G119" s="80"/>
      <c r="H119" s="37"/>
      <c r="I119" s="63"/>
      <c r="J119" s="64"/>
      <c r="K119" s="64"/>
      <c r="L119" s="64"/>
      <c r="M119" s="82"/>
    </row>
    <row r="120" spans="1:15" s="41" customFormat="1" ht="15" customHeight="1">
      <c r="A120" s="93"/>
      <c r="B120" s="131"/>
      <c r="C120" s="38"/>
      <c r="D120" s="66"/>
      <c r="E120" s="64"/>
      <c r="F120" s="79"/>
      <c r="G120" s="80"/>
      <c r="H120" s="37"/>
      <c r="I120" s="63"/>
      <c r="J120" s="64"/>
      <c r="K120" s="64"/>
      <c r="L120" s="64"/>
      <c r="M120" s="82"/>
    </row>
    <row r="121" spans="1:15" s="41" customFormat="1" ht="15" customHeight="1">
      <c r="A121" s="93"/>
      <c r="B121" s="131"/>
      <c r="C121" s="38"/>
      <c r="D121" s="66"/>
      <c r="E121" s="64"/>
      <c r="F121" s="79"/>
      <c r="G121" s="80"/>
      <c r="H121" s="37"/>
      <c r="I121" s="63"/>
      <c r="J121" s="64"/>
      <c r="K121" s="64"/>
      <c r="L121" s="64"/>
      <c r="M121" s="82"/>
    </row>
    <row r="122" spans="1:15" s="41" customFormat="1" ht="15" customHeight="1">
      <c r="A122" s="93"/>
      <c r="B122" s="131"/>
      <c r="C122" s="38"/>
      <c r="D122" s="66"/>
      <c r="E122" s="64"/>
      <c r="F122" s="79"/>
      <c r="G122" s="80"/>
      <c r="H122" s="37"/>
      <c r="I122" s="63"/>
      <c r="J122" s="64"/>
      <c r="K122" s="64"/>
      <c r="L122" s="64"/>
      <c r="M122" s="82"/>
    </row>
    <row r="123" spans="1:15" s="41" customFormat="1" ht="15" customHeight="1">
      <c r="A123" s="93"/>
      <c r="B123" s="131"/>
      <c r="C123" s="38"/>
      <c r="D123" s="66"/>
      <c r="E123" s="64"/>
      <c r="F123" s="79"/>
      <c r="G123" s="80"/>
      <c r="H123" s="37"/>
      <c r="I123" s="63"/>
      <c r="J123" s="64"/>
      <c r="K123" s="64"/>
      <c r="L123" s="64"/>
      <c r="M123" s="82"/>
    </row>
    <row r="124" spans="1:15" s="41" customFormat="1" ht="15" customHeight="1">
      <c r="A124" s="93"/>
      <c r="B124" s="131"/>
      <c r="C124" s="38"/>
      <c r="D124" s="66"/>
      <c r="E124" s="64"/>
      <c r="F124" s="79"/>
      <c r="G124" s="80"/>
      <c r="H124" s="37"/>
      <c r="I124" s="63"/>
      <c r="J124" s="64"/>
      <c r="K124" s="64"/>
      <c r="L124" s="64"/>
      <c r="M124" s="82"/>
    </row>
    <row r="125" spans="1:15" s="41" customFormat="1" ht="15" customHeight="1">
      <c r="A125" s="93"/>
      <c r="B125" s="131"/>
      <c r="C125" s="38"/>
      <c r="D125" s="66"/>
      <c r="E125" s="64"/>
      <c r="F125" s="79"/>
      <c r="G125" s="80"/>
      <c r="H125" s="37"/>
      <c r="I125" s="63"/>
      <c r="J125" s="64"/>
      <c r="K125" s="64"/>
      <c r="L125" s="64"/>
      <c r="M125" s="82"/>
    </row>
    <row r="126" spans="1:15" ht="15" customHeight="1">
      <c r="N126" s="41"/>
      <c r="O126" s="41"/>
    </row>
    <row r="127" spans="1:15" ht="15" customHeight="1">
      <c r="N127" s="41"/>
      <c r="O127" s="41"/>
    </row>
    <row r="128" spans="1:15" s="41" customFormat="1" ht="15" customHeight="1">
      <c r="A128" s="93"/>
      <c r="B128" s="131"/>
      <c r="C128" s="38"/>
      <c r="D128" s="66"/>
      <c r="E128" s="64"/>
      <c r="F128" s="79"/>
      <c r="G128" s="80"/>
      <c r="H128" s="37"/>
      <c r="I128" s="63"/>
      <c r="J128" s="64"/>
      <c r="K128" s="64"/>
      <c r="L128" s="64"/>
      <c r="M128" s="82"/>
    </row>
    <row r="129" spans="1:15" s="41" customFormat="1" ht="15" customHeight="1">
      <c r="A129" s="93"/>
      <c r="B129" s="131"/>
      <c r="C129" s="38"/>
      <c r="D129" s="66"/>
      <c r="E129" s="64"/>
      <c r="F129" s="79"/>
      <c r="G129" s="80"/>
      <c r="H129" s="37"/>
      <c r="I129" s="63"/>
      <c r="J129" s="64"/>
      <c r="K129" s="64"/>
      <c r="L129" s="64"/>
      <c r="M129" s="82"/>
    </row>
    <row r="130" spans="1:15" s="41" customFormat="1" ht="15" customHeight="1">
      <c r="A130" s="93"/>
      <c r="B130" s="131"/>
      <c r="C130" s="38"/>
      <c r="D130" s="66"/>
      <c r="E130" s="64"/>
      <c r="F130" s="79"/>
      <c r="G130" s="80"/>
      <c r="H130" s="37"/>
      <c r="I130" s="63"/>
      <c r="J130" s="64"/>
      <c r="K130" s="64"/>
      <c r="L130" s="64"/>
      <c r="M130" s="82"/>
    </row>
    <row r="131" spans="1:15" s="41" customFormat="1" ht="15" customHeight="1">
      <c r="A131" s="93"/>
      <c r="B131" s="131"/>
      <c r="C131" s="38"/>
      <c r="D131" s="66"/>
      <c r="E131" s="64"/>
      <c r="F131" s="79"/>
      <c r="G131" s="80"/>
      <c r="H131" s="37"/>
      <c r="I131" s="63"/>
      <c r="J131" s="64"/>
      <c r="K131" s="64"/>
      <c r="L131" s="64"/>
      <c r="M131" s="82"/>
    </row>
    <row r="132" spans="1:15" s="41" customFormat="1" ht="15" customHeight="1">
      <c r="A132" s="93"/>
      <c r="B132" s="131"/>
      <c r="C132" s="38"/>
      <c r="D132" s="66"/>
      <c r="E132" s="64"/>
      <c r="F132" s="79"/>
      <c r="G132" s="80"/>
      <c r="H132" s="37"/>
      <c r="I132" s="63"/>
      <c r="J132" s="64"/>
      <c r="K132" s="64"/>
      <c r="L132" s="64"/>
      <c r="M132" s="82"/>
    </row>
    <row r="133" spans="1:15" s="41" customFormat="1" ht="15" customHeight="1">
      <c r="A133" s="93"/>
      <c r="B133" s="131"/>
      <c r="C133" s="38"/>
      <c r="D133" s="66"/>
      <c r="E133" s="64"/>
      <c r="F133" s="79"/>
      <c r="G133" s="80"/>
      <c r="H133" s="37"/>
      <c r="I133" s="63"/>
      <c r="J133" s="64"/>
      <c r="K133" s="64"/>
      <c r="L133" s="64"/>
      <c r="M133" s="82"/>
    </row>
    <row r="134" spans="1:15" s="41" customFormat="1" ht="15" customHeight="1">
      <c r="A134" s="93"/>
      <c r="B134" s="131"/>
      <c r="C134" s="38"/>
      <c r="D134" s="66"/>
      <c r="E134" s="64"/>
      <c r="F134" s="79"/>
      <c r="G134" s="80"/>
      <c r="H134" s="37"/>
      <c r="I134" s="63"/>
      <c r="J134" s="64"/>
      <c r="K134" s="64"/>
      <c r="L134" s="64"/>
      <c r="M134" s="82"/>
    </row>
    <row r="135" spans="1:15" s="41" customFormat="1" ht="15" customHeight="1">
      <c r="A135" s="93"/>
      <c r="B135" s="131"/>
      <c r="C135" s="38"/>
      <c r="D135" s="66"/>
      <c r="E135" s="64"/>
      <c r="F135" s="79"/>
      <c r="G135" s="80"/>
      <c r="H135" s="37"/>
      <c r="I135" s="63"/>
      <c r="J135" s="64"/>
      <c r="K135" s="64"/>
      <c r="L135" s="64"/>
      <c r="M135" s="82"/>
    </row>
    <row r="136" spans="1:15" s="41" customFormat="1" ht="15" customHeight="1">
      <c r="A136" s="93"/>
      <c r="B136" s="131"/>
      <c r="C136" s="38"/>
      <c r="D136" s="66"/>
      <c r="E136" s="64"/>
      <c r="F136" s="79"/>
      <c r="G136" s="80"/>
      <c r="H136" s="37"/>
      <c r="I136" s="63"/>
      <c r="J136" s="64"/>
      <c r="K136" s="64"/>
      <c r="L136" s="64"/>
      <c r="M136" s="82"/>
    </row>
    <row r="137" spans="1:15" ht="15" customHeight="1">
      <c r="N137" s="41"/>
      <c r="O137" s="41"/>
    </row>
    <row r="138" spans="1:15" ht="15" customHeight="1">
      <c r="N138" s="41"/>
      <c r="O138" s="41"/>
    </row>
    <row r="139" spans="1:15" s="41" customFormat="1" ht="15" customHeight="1">
      <c r="A139" s="93"/>
      <c r="B139" s="131"/>
      <c r="C139" s="38"/>
      <c r="D139" s="66"/>
      <c r="E139" s="64"/>
      <c r="F139" s="79"/>
      <c r="G139" s="80"/>
      <c r="H139" s="37"/>
      <c r="I139" s="63"/>
      <c r="J139" s="64"/>
      <c r="K139" s="64"/>
      <c r="L139" s="64"/>
      <c r="M139" s="82"/>
    </row>
    <row r="140" spans="1:15" s="41" customFormat="1" ht="15" customHeight="1">
      <c r="A140" s="93"/>
      <c r="B140" s="131"/>
      <c r="C140" s="38"/>
      <c r="D140" s="66"/>
      <c r="E140" s="64"/>
      <c r="F140" s="79"/>
      <c r="G140" s="80"/>
      <c r="H140" s="37"/>
      <c r="I140" s="63"/>
      <c r="J140" s="64"/>
      <c r="K140" s="64"/>
      <c r="L140" s="64"/>
      <c r="M140" s="82"/>
    </row>
    <row r="141" spans="1:15" s="41" customFormat="1" ht="15" customHeight="1">
      <c r="A141" s="93"/>
      <c r="B141" s="131"/>
      <c r="C141" s="38"/>
      <c r="D141" s="66"/>
      <c r="E141" s="64"/>
      <c r="F141" s="79"/>
      <c r="G141" s="80"/>
      <c r="H141" s="37"/>
      <c r="I141" s="63"/>
      <c r="J141" s="64"/>
      <c r="K141" s="64"/>
      <c r="L141" s="64"/>
      <c r="M141" s="82"/>
    </row>
    <row r="142" spans="1:15" s="41" customFormat="1" ht="15" customHeight="1">
      <c r="A142" s="93"/>
      <c r="B142" s="131"/>
      <c r="C142" s="38"/>
      <c r="D142" s="66"/>
      <c r="E142" s="64"/>
      <c r="F142" s="79"/>
      <c r="G142" s="80"/>
      <c r="H142" s="37"/>
      <c r="I142" s="63"/>
      <c r="J142" s="64"/>
      <c r="K142" s="64"/>
      <c r="L142" s="64"/>
      <c r="M142" s="82"/>
    </row>
    <row r="143" spans="1:15" ht="15" customHeight="1">
      <c r="N143" s="41"/>
      <c r="O143" s="41"/>
    </row>
    <row r="144" spans="1:15" ht="15" customHeight="1">
      <c r="N144" s="41"/>
      <c r="O144" s="41"/>
    </row>
    <row r="145" spans="1:15" s="41" customFormat="1" ht="15" customHeight="1">
      <c r="A145" s="93"/>
      <c r="B145" s="131"/>
      <c r="C145" s="38"/>
      <c r="D145" s="66"/>
      <c r="E145" s="64"/>
      <c r="F145" s="79"/>
      <c r="G145" s="80"/>
      <c r="H145" s="37"/>
      <c r="I145" s="63"/>
      <c r="J145" s="64"/>
      <c r="K145" s="64"/>
      <c r="L145" s="64"/>
      <c r="M145" s="82"/>
      <c r="N145" s="37"/>
      <c r="O145" s="37"/>
    </row>
    <row r="146" spans="1:15" s="41" customFormat="1" ht="15" customHeight="1">
      <c r="A146" s="93"/>
      <c r="B146" s="131"/>
      <c r="C146" s="38"/>
      <c r="D146" s="66"/>
      <c r="E146" s="64"/>
      <c r="F146" s="79"/>
      <c r="G146" s="80"/>
      <c r="H146" s="37"/>
      <c r="I146" s="63"/>
      <c r="J146" s="64"/>
      <c r="K146" s="64"/>
      <c r="L146" s="64"/>
      <c r="M146" s="82"/>
      <c r="N146" s="37"/>
      <c r="O146" s="37"/>
    </row>
    <row r="147" spans="1:15" s="41" customFormat="1" ht="15" customHeight="1">
      <c r="A147" s="93"/>
      <c r="B147" s="131"/>
      <c r="C147" s="38"/>
      <c r="D147" s="66"/>
      <c r="E147" s="64"/>
      <c r="F147" s="79"/>
      <c r="G147" s="80"/>
      <c r="H147" s="37"/>
      <c r="I147" s="63"/>
      <c r="J147" s="64"/>
      <c r="K147" s="64"/>
      <c r="L147" s="64"/>
      <c r="M147" s="82"/>
    </row>
    <row r="148" spans="1:15" s="41" customFormat="1" ht="15" customHeight="1">
      <c r="A148" s="93"/>
      <c r="B148" s="131"/>
      <c r="C148" s="38"/>
      <c r="D148" s="66"/>
      <c r="E148" s="64"/>
      <c r="F148" s="79"/>
      <c r="G148" s="80"/>
      <c r="H148" s="37"/>
      <c r="I148" s="63"/>
      <c r="J148" s="64"/>
      <c r="K148" s="64"/>
      <c r="L148" s="64"/>
      <c r="M148" s="82"/>
    </row>
    <row r="149" spans="1:15" s="41" customFormat="1" ht="15" customHeight="1">
      <c r="A149" s="93"/>
      <c r="B149" s="131"/>
      <c r="C149" s="38"/>
      <c r="D149" s="66"/>
      <c r="E149" s="64"/>
      <c r="F149" s="79"/>
      <c r="G149" s="80"/>
      <c r="H149" s="37"/>
      <c r="I149" s="63"/>
      <c r="J149" s="64"/>
      <c r="K149" s="64"/>
      <c r="L149" s="64"/>
      <c r="M149" s="82"/>
    </row>
    <row r="150" spans="1:15" s="41" customFormat="1" ht="15" customHeight="1">
      <c r="A150" s="93"/>
      <c r="B150" s="131"/>
      <c r="C150" s="38"/>
      <c r="D150" s="66"/>
      <c r="E150" s="64"/>
      <c r="F150" s="79"/>
      <c r="G150" s="80"/>
      <c r="H150" s="37"/>
      <c r="I150" s="63"/>
      <c r="J150" s="64"/>
      <c r="K150" s="64"/>
      <c r="L150" s="64"/>
      <c r="M150" s="82"/>
    </row>
    <row r="151" spans="1:15" s="41" customFormat="1" ht="15" customHeight="1">
      <c r="A151" s="93"/>
      <c r="B151" s="131"/>
      <c r="C151" s="38"/>
      <c r="D151" s="66"/>
      <c r="E151" s="64"/>
      <c r="F151" s="79"/>
      <c r="G151" s="80"/>
      <c r="H151" s="37"/>
      <c r="I151" s="63"/>
      <c r="J151" s="64"/>
      <c r="K151" s="64"/>
      <c r="L151" s="64"/>
      <c r="M151" s="82"/>
    </row>
    <row r="152" spans="1:15" ht="15" customHeight="1">
      <c r="N152" s="41"/>
      <c r="O152" s="41"/>
    </row>
    <row r="153" spans="1:15" ht="15" customHeight="1">
      <c r="N153" s="41"/>
      <c r="O153" s="41"/>
    </row>
    <row r="154" spans="1:15" s="41" customFormat="1" ht="15" customHeight="1">
      <c r="A154" s="93"/>
      <c r="B154" s="131"/>
      <c r="C154" s="38"/>
      <c r="D154" s="66"/>
      <c r="E154" s="64"/>
      <c r="F154" s="79"/>
      <c r="G154" s="80"/>
      <c r="H154" s="37"/>
      <c r="I154" s="63"/>
      <c r="J154" s="64"/>
      <c r="K154" s="64"/>
      <c r="L154" s="64"/>
      <c r="M154" s="82"/>
    </row>
    <row r="155" spans="1:15" s="41" customFormat="1" ht="15" customHeight="1">
      <c r="A155" s="93"/>
      <c r="B155" s="131"/>
      <c r="C155" s="38"/>
      <c r="D155" s="66"/>
      <c r="E155" s="64"/>
      <c r="F155" s="79"/>
      <c r="G155" s="80"/>
      <c r="H155" s="37"/>
      <c r="I155" s="63"/>
      <c r="J155" s="64"/>
      <c r="K155" s="64"/>
      <c r="L155" s="64"/>
      <c r="M155" s="82"/>
    </row>
    <row r="156" spans="1:15" s="41" customFormat="1" ht="15" customHeight="1">
      <c r="A156" s="93"/>
      <c r="B156" s="131"/>
      <c r="C156" s="38"/>
      <c r="D156" s="66"/>
      <c r="E156" s="64"/>
      <c r="F156" s="79"/>
      <c r="G156" s="80"/>
      <c r="H156" s="37"/>
      <c r="I156" s="63"/>
      <c r="J156" s="64"/>
      <c r="K156" s="64"/>
      <c r="L156" s="64"/>
      <c r="M156" s="82"/>
      <c r="N156" s="37"/>
      <c r="O156" s="37"/>
    </row>
    <row r="157" spans="1:15" s="41" customFormat="1" ht="15" customHeight="1">
      <c r="A157" s="93"/>
      <c r="B157" s="131"/>
      <c r="C157" s="38"/>
      <c r="D157" s="66"/>
      <c r="E157" s="64"/>
      <c r="F157" s="79"/>
      <c r="G157" s="80"/>
      <c r="H157" s="37"/>
      <c r="I157" s="63"/>
      <c r="J157" s="64"/>
      <c r="K157" s="64"/>
      <c r="L157" s="64"/>
      <c r="M157" s="82"/>
      <c r="N157" s="37"/>
      <c r="O157" s="37"/>
    </row>
    <row r="158" spans="1:15" s="41" customFormat="1" ht="15" customHeight="1">
      <c r="A158" s="93"/>
      <c r="B158" s="131"/>
      <c r="C158" s="38"/>
      <c r="D158" s="66"/>
      <c r="E158" s="64"/>
      <c r="F158" s="79"/>
      <c r="G158" s="80"/>
      <c r="H158" s="37"/>
      <c r="I158" s="63"/>
      <c r="J158" s="64"/>
      <c r="K158" s="64"/>
      <c r="L158" s="64"/>
      <c r="M158" s="82"/>
    </row>
    <row r="159" spans="1:15" s="41" customFormat="1" ht="15" customHeight="1">
      <c r="A159" s="93"/>
      <c r="B159" s="131"/>
      <c r="C159" s="38"/>
      <c r="D159" s="66"/>
      <c r="E159" s="64"/>
      <c r="F159" s="79"/>
      <c r="G159" s="80"/>
      <c r="H159" s="37"/>
      <c r="I159" s="63"/>
      <c r="J159" s="64"/>
      <c r="K159" s="64"/>
      <c r="L159" s="64"/>
      <c r="M159" s="82"/>
    </row>
    <row r="160" spans="1:15" s="41" customFormat="1" ht="15" customHeight="1">
      <c r="A160" s="93"/>
      <c r="B160" s="131"/>
      <c r="C160" s="38"/>
      <c r="D160" s="66"/>
      <c r="E160" s="64"/>
      <c r="F160" s="79"/>
      <c r="G160" s="80"/>
      <c r="H160" s="37"/>
      <c r="I160" s="63"/>
      <c r="J160" s="64"/>
      <c r="K160" s="64"/>
      <c r="L160" s="64"/>
      <c r="M160" s="82"/>
    </row>
    <row r="161" spans="1:15" ht="15" customHeight="1">
      <c r="N161" s="41"/>
      <c r="O161" s="41"/>
    </row>
    <row r="162" spans="1:15" ht="15" customHeight="1"/>
    <row r="163" spans="1:15" s="41" customFormat="1" ht="15" customHeight="1">
      <c r="A163" s="93"/>
      <c r="B163" s="131"/>
      <c r="C163" s="38"/>
      <c r="D163" s="66"/>
      <c r="E163" s="64"/>
      <c r="F163" s="79"/>
      <c r="G163" s="80"/>
      <c r="H163" s="37"/>
      <c r="I163" s="63"/>
      <c r="J163" s="64"/>
      <c r="K163" s="64"/>
      <c r="L163" s="64"/>
      <c r="M163" s="82"/>
      <c r="N163" s="37"/>
      <c r="O163" s="37"/>
    </row>
    <row r="164" spans="1:15" s="41" customFormat="1" ht="15" customHeight="1">
      <c r="A164" s="93"/>
      <c r="B164" s="131"/>
      <c r="C164" s="38"/>
      <c r="D164" s="66"/>
      <c r="E164" s="64"/>
      <c r="F164" s="79"/>
      <c r="G164" s="80"/>
      <c r="H164" s="37"/>
      <c r="I164" s="63"/>
      <c r="J164" s="64"/>
      <c r="K164" s="64"/>
      <c r="L164" s="64"/>
      <c r="M164" s="82"/>
    </row>
    <row r="165" spans="1:15" s="41" customFormat="1" ht="15" customHeight="1">
      <c r="A165" s="93"/>
      <c r="B165" s="131"/>
      <c r="C165" s="38"/>
      <c r="D165" s="66"/>
      <c r="E165" s="64"/>
      <c r="F165" s="79"/>
      <c r="G165" s="80"/>
      <c r="H165" s="37"/>
      <c r="I165" s="63"/>
      <c r="J165" s="64"/>
      <c r="K165" s="64"/>
      <c r="L165" s="64"/>
      <c r="M165" s="82"/>
    </row>
    <row r="166" spans="1:15" s="41" customFormat="1" ht="15" customHeight="1">
      <c r="A166" s="93"/>
      <c r="B166" s="131"/>
      <c r="C166" s="38"/>
      <c r="D166" s="66"/>
      <c r="E166" s="64"/>
      <c r="F166" s="79"/>
      <c r="G166" s="80"/>
      <c r="H166" s="37"/>
      <c r="I166" s="63"/>
      <c r="J166" s="64"/>
      <c r="K166" s="64"/>
      <c r="L166" s="64"/>
      <c r="M166" s="82"/>
    </row>
    <row r="167" spans="1:15" ht="15" customHeight="1">
      <c r="N167" s="41"/>
      <c r="O167" s="41"/>
    </row>
    <row r="168" spans="1:15" s="22" customFormat="1" ht="15" customHeight="1">
      <c r="A168" s="93"/>
      <c r="B168" s="131"/>
      <c r="C168" s="38"/>
      <c r="D168" s="66"/>
      <c r="E168" s="64"/>
      <c r="F168" s="79"/>
      <c r="G168" s="80"/>
      <c r="H168" s="37"/>
      <c r="I168" s="63"/>
      <c r="J168" s="64"/>
      <c r="K168" s="64"/>
      <c r="L168" s="64"/>
      <c r="M168" s="82"/>
      <c r="N168" s="41"/>
      <c r="O168" s="41"/>
    </row>
    <row r="169" spans="1:15" s="22" customFormat="1" ht="15" customHeight="1">
      <c r="A169" s="93"/>
      <c r="B169" s="131"/>
      <c r="C169" s="38"/>
      <c r="D169" s="66"/>
      <c r="E169" s="64"/>
      <c r="F169" s="79"/>
      <c r="G169" s="80"/>
      <c r="H169" s="37"/>
      <c r="I169" s="63"/>
      <c r="J169" s="64"/>
      <c r="K169" s="64"/>
      <c r="L169" s="64"/>
      <c r="M169" s="82"/>
      <c r="N169" s="41"/>
      <c r="O169" s="41"/>
    </row>
    <row r="170" spans="1:15" ht="15" customHeight="1">
      <c r="N170" s="41"/>
      <c r="O170" s="41"/>
    </row>
    <row r="171" spans="1:15" s="41" customFormat="1" ht="15" customHeight="1">
      <c r="A171" s="93"/>
      <c r="B171" s="131"/>
      <c r="C171" s="38"/>
      <c r="D171" s="66"/>
      <c r="E171" s="64"/>
      <c r="F171" s="79"/>
      <c r="G171" s="80"/>
      <c r="H171" s="37"/>
      <c r="I171" s="63"/>
      <c r="J171" s="64"/>
      <c r="K171" s="64"/>
      <c r="L171" s="64"/>
      <c r="M171" s="82"/>
      <c r="N171" s="37"/>
      <c r="O171" s="37"/>
    </row>
    <row r="172" spans="1:15" s="41" customFormat="1" ht="15" customHeight="1">
      <c r="A172" s="93"/>
      <c r="B172" s="131"/>
      <c r="C172" s="38"/>
      <c r="D172" s="66"/>
      <c r="E172" s="64"/>
      <c r="F172" s="79"/>
      <c r="G172" s="80"/>
      <c r="H172" s="37"/>
      <c r="I172" s="63"/>
      <c r="J172" s="64"/>
      <c r="K172" s="64"/>
      <c r="L172" s="64"/>
      <c r="M172" s="82"/>
      <c r="N172" s="37"/>
      <c r="O172" s="37"/>
    </row>
    <row r="173" spans="1:15" s="41" customFormat="1" ht="15" customHeight="1">
      <c r="A173" s="93"/>
      <c r="B173" s="131"/>
      <c r="C173" s="38"/>
      <c r="D173" s="66"/>
      <c r="E173" s="64"/>
      <c r="F173" s="79"/>
      <c r="G173" s="80"/>
      <c r="H173" s="37"/>
      <c r="I173" s="63"/>
      <c r="J173" s="64"/>
      <c r="K173" s="64"/>
      <c r="L173" s="64"/>
      <c r="M173" s="82"/>
    </row>
    <row r="174" spans="1:15" ht="15" customHeight="1">
      <c r="N174" s="41"/>
      <c r="O174" s="41"/>
    </row>
    <row r="175" spans="1:15" ht="15" customHeight="1">
      <c r="N175" s="41"/>
      <c r="O175" s="41"/>
    </row>
    <row r="176" spans="1:15" s="41" customFormat="1" ht="15" customHeight="1">
      <c r="A176" s="93"/>
      <c r="B176" s="131"/>
      <c r="C176" s="38"/>
      <c r="D176" s="66"/>
      <c r="E176" s="64"/>
      <c r="F176" s="79"/>
      <c r="G176" s="80"/>
      <c r="H176" s="37"/>
      <c r="I176" s="63"/>
      <c r="J176" s="64"/>
      <c r="K176" s="64"/>
      <c r="L176" s="64"/>
      <c r="M176" s="82"/>
    </row>
    <row r="177" spans="1:15" s="41" customFormat="1" ht="15" customHeight="1">
      <c r="A177" s="93"/>
      <c r="B177" s="131"/>
      <c r="C177" s="38"/>
      <c r="D177" s="66"/>
      <c r="E177" s="64"/>
      <c r="F177" s="79"/>
      <c r="G177" s="80"/>
      <c r="H177" s="37"/>
      <c r="I177" s="63"/>
      <c r="J177" s="64"/>
      <c r="K177" s="64"/>
      <c r="L177" s="64"/>
      <c r="M177" s="82"/>
    </row>
    <row r="178" spans="1:15" s="41" customFormat="1" ht="15" customHeight="1">
      <c r="A178" s="93"/>
      <c r="B178" s="131"/>
      <c r="C178" s="38"/>
      <c r="D178" s="66"/>
      <c r="E178" s="64"/>
      <c r="F178" s="79"/>
      <c r="G178" s="80"/>
      <c r="H178" s="37"/>
      <c r="I178" s="63"/>
      <c r="J178" s="64"/>
      <c r="K178" s="64"/>
      <c r="L178" s="64"/>
      <c r="M178" s="82"/>
    </row>
    <row r="179" spans="1:15" ht="15" customHeight="1">
      <c r="N179" s="41"/>
      <c r="O179" s="41"/>
    </row>
    <row r="180" spans="1:15" ht="15" customHeight="1"/>
    <row r="181" spans="1:15" s="41" customFormat="1" ht="15" customHeight="1">
      <c r="A181" s="93"/>
      <c r="B181" s="131"/>
      <c r="C181" s="38"/>
      <c r="D181" s="66"/>
      <c r="E181" s="64"/>
      <c r="F181" s="79"/>
      <c r="G181" s="80"/>
      <c r="H181" s="37"/>
      <c r="I181" s="63"/>
      <c r="J181" s="64"/>
      <c r="K181" s="64"/>
      <c r="L181" s="64"/>
      <c r="M181" s="82"/>
      <c r="N181" s="37"/>
      <c r="O181" s="37"/>
    </row>
    <row r="182" spans="1:15" s="41" customFormat="1" ht="15" customHeight="1">
      <c r="A182" s="93"/>
      <c r="B182" s="131"/>
      <c r="C182" s="38"/>
      <c r="D182" s="66"/>
      <c r="E182" s="64"/>
      <c r="F182" s="79"/>
      <c r="G182" s="80"/>
      <c r="H182" s="37"/>
      <c r="I182" s="63"/>
      <c r="J182" s="64"/>
      <c r="K182" s="64"/>
      <c r="L182" s="64"/>
      <c r="M182" s="82"/>
    </row>
    <row r="183" spans="1:15" s="41" customFormat="1" ht="15" customHeight="1">
      <c r="A183" s="93"/>
      <c r="B183" s="131"/>
      <c r="C183" s="38"/>
      <c r="D183" s="66"/>
      <c r="E183" s="64"/>
      <c r="F183" s="79"/>
      <c r="G183" s="80"/>
      <c r="H183" s="37"/>
      <c r="I183" s="63"/>
      <c r="J183" s="64"/>
      <c r="K183" s="64"/>
      <c r="L183" s="64"/>
      <c r="M183" s="82"/>
    </row>
    <row r="184" spans="1:15" ht="15" customHeight="1">
      <c r="N184" s="41"/>
      <c r="O184" s="41"/>
    </row>
    <row r="185" spans="1:15" ht="15" customHeight="1">
      <c r="N185" s="41"/>
      <c r="O185" s="41"/>
    </row>
    <row r="186" spans="1:15" s="41" customFormat="1" ht="15" customHeight="1">
      <c r="A186" s="93"/>
      <c r="B186" s="131"/>
      <c r="C186" s="38"/>
      <c r="D186" s="66"/>
      <c r="E186" s="64"/>
      <c r="F186" s="79"/>
      <c r="G186" s="80"/>
      <c r="H186" s="37"/>
      <c r="I186" s="63"/>
      <c r="J186" s="64"/>
      <c r="K186" s="64"/>
      <c r="L186" s="64"/>
      <c r="M186" s="82"/>
      <c r="N186" s="37"/>
      <c r="O186" s="37"/>
    </row>
    <row r="187" spans="1:15" s="41" customFormat="1" ht="15" customHeight="1">
      <c r="A187" s="93"/>
      <c r="B187" s="131"/>
      <c r="C187" s="38"/>
      <c r="D187" s="66"/>
      <c r="E187" s="64"/>
      <c r="F187" s="79"/>
      <c r="G187" s="80"/>
      <c r="H187" s="37"/>
      <c r="I187" s="63"/>
      <c r="J187" s="64"/>
      <c r="K187" s="64"/>
      <c r="L187" s="64"/>
      <c r="M187" s="82"/>
      <c r="N187" s="22"/>
      <c r="O187" s="22"/>
    </row>
    <row r="188" spans="1:15" s="41" customFormat="1" ht="15" customHeight="1">
      <c r="A188" s="93"/>
      <c r="B188" s="131"/>
      <c r="C188" s="38"/>
      <c r="D188" s="66"/>
      <c r="E188" s="64"/>
      <c r="F188" s="79"/>
      <c r="G188" s="80"/>
      <c r="H188" s="37"/>
      <c r="I188" s="63"/>
      <c r="J188" s="64"/>
      <c r="K188" s="64"/>
      <c r="L188" s="64"/>
      <c r="M188" s="82"/>
      <c r="N188" s="22"/>
      <c r="O188" s="22"/>
    </row>
    <row r="189" spans="1:15" ht="15" customHeight="1"/>
    <row r="190" spans="1:15" ht="15" customHeight="1">
      <c r="N190" s="41"/>
      <c r="O190" s="41"/>
    </row>
    <row r="191" spans="1:15" s="41" customFormat="1" ht="15" customHeight="1">
      <c r="A191" s="93"/>
      <c r="B191" s="131"/>
      <c r="C191" s="38"/>
      <c r="D191" s="66"/>
      <c r="E191" s="64"/>
      <c r="F191" s="79"/>
      <c r="G191" s="80"/>
      <c r="H191" s="37"/>
      <c r="I191" s="63"/>
      <c r="J191" s="64"/>
      <c r="K191" s="64"/>
      <c r="L191" s="64"/>
      <c r="M191" s="82"/>
    </row>
    <row r="192" spans="1:15" s="41" customFormat="1" ht="15" customHeight="1">
      <c r="A192" s="93"/>
      <c r="B192" s="131"/>
      <c r="C192" s="38"/>
      <c r="D192" s="66"/>
      <c r="E192" s="64"/>
      <c r="F192" s="79"/>
      <c r="G192" s="80"/>
      <c r="H192" s="37"/>
      <c r="I192" s="63"/>
      <c r="J192" s="64"/>
      <c r="K192" s="64"/>
      <c r="L192" s="64"/>
      <c r="M192" s="82"/>
    </row>
    <row r="193" spans="1:15" s="41" customFormat="1" ht="15" customHeight="1">
      <c r="A193" s="93"/>
      <c r="B193" s="131"/>
      <c r="C193" s="38"/>
      <c r="D193" s="66"/>
      <c r="E193" s="64"/>
      <c r="F193" s="79"/>
      <c r="G193" s="80"/>
      <c r="H193" s="37"/>
      <c r="I193" s="63"/>
      <c r="J193" s="64"/>
      <c r="K193" s="64"/>
      <c r="L193" s="64"/>
      <c r="M193" s="82"/>
      <c r="N193" s="37"/>
      <c r="O193" s="37"/>
    </row>
    <row r="194" spans="1:15" ht="15" customHeight="1"/>
    <row r="195" spans="1:15" ht="15" customHeight="1">
      <c r="N195" s="41"/>
      <c r="O195" s="41"/>
    </row>
    <row r="196" spans="1:15" s="41" customFormat="1" ht="15" customHeight="1">
      <c r="A196" s="93"/>
      <c r="B196" s="131"/>
      <c r="C196" s="38"/>
      <c r="D196" s="66"/>
      <c r="E196" s="64"/>
      <c r="F196" s="79"/>
      <c r="G196" s="80"/>
      <c r="H196" s="37"/>
      <c r="I196" s="63"/>
      <c r="J196" s="64"/>
      <c r="K196" s="64"/>
      <c r="L196" s="64"/>
      <c r="M196" s="82"/>
    </row>
    <row r="197" spans="1:15" s="41" customFormat="1" ht="15" customHeight="1">
      <c r="A197" s="93"/>
      <c r="B197" s="131"/>
      <c r="C197" s="38"/>
      <c r="D197" s="66"/>
      <c r="E197" s="64"/>
      <c r="F197" s="79"/>
      <c r="G197" s="80"/>
      <c r="H197" s="37"/>
      <c r="I197" s="63"/>
      <c r="J197" s="64"/>
      <c r="K197" s="64"/>
      <c r="L197" s="64"/>
      <c r="M197" s="82"/>
    </row>
    <row r="198" spans="1:15" s="41" customFormat="1" ht="15" customHeight="1">
      <c r="A198" s="93"/>
      <c r="B198" s="131"/>
      <c r="C198" s="38"/>
      <c r="D198" s="66"/>
      <c r="E198" s="64"/>
      <c r="F198" s="79"/>
      <c r="G198" s="80"/>
      <c r="H198" s="37"/>
      <c r="I198" s="63"/>
      <c r="J198" s="64"/>
      <c r="K198" s="64"/>
      <c r="L198" s="64"/>
      <c r="M198" s="82"/>
      <c r="N198" s="37"/>
      <c r="O198" s="37"/>
    </row>
    <row r="199" spans="1:15" ht="15" customHeight="1"/>
    <row r="200" spans="1:15" ht="15" customHeight="1">
      <c r="N200" s="41"/>
      <c r="O200" s="41"/>
    </row>
    <row r="201" spans="1:15" s="41" customFormat="1" ht="15" customHeight="1">
      <c r="A201" s="93"/>
      <c r="B201" s="131"/>
      <c r="C201" s="38"/>
      <c r="D201" s="66"/>
      <c r="E201" s="64"/>
      <c r="F201" s="79"/>
      <c r="G201" s="80"/>
      <c r="H201" s="37"/>
      <c r="I201" s="63"/>
      <c r="J201" s="64"/>
      <c r="K201" s="64"/>
      <c r="L201" s="64"/>
      <c r="M201" s="82"/>
    </row>
    <row r="202" spans="1:15" s="41" customFormat="1" ht="15" customHeight="1">
      <c r="A202" s="93"/>
      <c r="B202" s="131"/>
      <c r="C202" s="38"/>
      <c r="D202" s="66"/>
      <c r="E202" s="64"/>
      <c r="F202" s="79"/>
      <c r="G202" s="80"/>
      <c r="H202" s="37"/>
      <c r="I202" s="63"/>
      <c r="J202" s="64"/>
      <c r="K202" s="64"/>
      <c r="L202" s="64"/>
      <c r="M202" s="82"/>
    </row>
    <row r="203" spans="1:15" s="41" customFormat="1" ht="15" customHeight="1">
      <c r="A203" s="93"/>
      <c r="B203" s="131"/>
      <c r="C203" s="38"/>
      <c r="D203" s="66"/>
      <c r="E203" s="64"/>
      <c r="F203" s="79"/>
      <c r="G203" s="80"/>
      <c r="H203" s="37"/>
      <c r="I203" s="63"/>
      <c r="J203" s="64"/>
      <c r="K203" s="64"/>
      <c r="L203" s="64"/>
      <c r="M203" s="82"/>
      <c r="N203" s="37"/>
      <c r="O203" s="37"/>
    </row>
    <row r="204" spans="1:15" s="41" customFormat="1" ht="15" customHeight="1">
      <c r="A204" s="93"/>
      <c r="B204" s="131"/>
      <c r="C204" s="38"/>
      <c r="D204" s="66"/>
      <c r="E204" s="64"/>
      <c r="F204" s="79"/>
      <c r="G204" s="80"/>
      <c r="H204" s="37"/>
      <c r="I204" s="63"/>
      <c r="J204" s="64"/>
      <c r="K204" s="64"/>
      <c r="L204" s="64"/>
      <c r="M204" s="82"/>
      <c r="N204" s="37"/>
      <c r="O204" s="37"/>
    </row>
    <row r="205" spans="1:15" ht="15" customHeight="1">
      <c r="N205" s="41"/>
      <c r="O205" s="41"/>
    </row>
    <row r="206" spans="1:15" ht="15" customHeight="1">
      <c r="N206" s="41"/>
      <c r="O206" s="41"/>
    </row>
    <row r="207" spans="1:15" s="41" customFormat="1" ht="15" customHeight="1">
      <c r="A207" s="93"/>
      <c r="B207" s="131"/>
      <c r="C207" s="38"/>
      <c r="D207" s="66"/>
      <c r="E207" s="64"/>
      <c r="F207" s="79"/>
      <c r="G207" s="80"/>
      <c r="H207" s="37"/>
      <c r="I207" s="63"/>
      <c r="J207" s="64"/>
      <c r="K207" s="64"/>
      <c r="L207" s="64"/>
      <c r="M207" s="82"/>
    </row>
    <row r="208" spans="1:15" s="41" customFormat="1" ht="15" customHeight="1">
      <c r="A208" s="93"/>
      <c r="B208" s="131"/>
      <c r="C208" s="38"/>
      <c r="D208" s="66"/>
      <c r="E208" s="64"/>
      <c r="F208" s="79"/>
      <c r="G208" s="80"/>
      <c r="H208" s="37"/>
      <c r="I208" s="63"/>
      <c r="J208" s="64"/>
      <c r="K208" s="64"/>
      <c r="L208" s="64"/>
      <c r="M208" s="82"/>
      <c r="N208" s="37"/>
      <c r="O208" s="37"/>
    </row>
    <row r="209" spans="1:15" s="41" customFormat="1" ht="15" customHeight="1">
      <c r="A209" s="93"/>
      <c r="B209" s="131"/>
      <c r="C209" s="38"/>
      <c r="D209" s="66"/>
      <c r="E209" s="64"/>
      <c r="F209" s="79"/>
      <c r="G209" s="80"/>
      <c r="H209" s="37"/>
      <c r="I209" s="63"/>
      <c r="J209" s="64"/>
      <c r="K209" s="64"/>
      <c r="L209" s="64"/>
      <c r="M209" s="82"/>
      <c r="N209" s="37"/>
      <c r="O209" s="37"/>
    </row>
    <row r="210" spans="1:15" ht="15" customHeight="1">
      <c r="N210" s="41"/>
      <c r="O210" s="41"/>
    </row>
    <row r="211" spans="1:15" ht="15" customHeight="1">
      <c r="N211" s="41"/>
      <c r="O211" s="41"/>
    </row>
    <row r="212" spans="1:15" s="41" customFormat="1" ht="15" customHeight="1">
      <c r="A212" s="93"/>
      <c r="B212" s="131"/>
      <c r="C212" s="38"/>
      <c r="D212" s="66"/>
      <c r="E212" s="64"/>
      <c r="F212" s="79"/>
      <c r="G212" s="80"/>
      <c r="H212" s="37"/>
      <c r="I212" s="63"/>
      <c r="J212" s="64"/>
      <c r="K212" s="64"/>
      <c r="L212" s="64"/>
      <c r="M212" s="82"/>
    </row>
    <row r="213" spans="1:15" s="41" customFormat="1" ht="15" customHeight="1">
      <c r="A213" s="93"/>
      <c r="B213" s="131"/>
      <c r="C213" s="38"/>
      <c r="D213" s="66"/>
      <c r="E213" s="64"/>
      <c r="F213" s="79"/>
      <c r="G213" s="80"/>
      <c r="H213" s="37"/>
      <c r="I213" s="63"/>
      <c r="J213" s="64"/>
      <c r="K213" s="64"/>
      <c r="L213" s="64"/>
      <c r="M213" s="82"/>
      <c r="N213" s="37"/>
      <c r="O213" s="37"/>
    </row>
    <row r="214" spans="1:15" s="41" customFormat="1" ht="15" customHeight="1">
      <c r="A214" s="93"/>
      <c r="B214" s="131"/>
      <c r="C214" s="38"/>
      <c r="D214" s="66"/>
      <c r="E214" s="64"/>
      <c r="F214" s="79"/>
      <c r="G214" s="80"/>
      <c r="H214" s="37"/>
      <c r="I214" s="63"/>
      <c r="J214" s="64"/>
      <c r="K214" s="64"/>
      <c r="L214" s="64"/>
      <c r="M214" s="82"/>
      <c r="N214" s="37"/>
      <c r="O214" s="37"/>
    </row>
    <row r="215" spans="1:15" ht="15" customHeight="1">
      <c r="N215" s="41"/>
      <c r="O215" s="41"/>
    </row>
    <row r="216" spans="1:15" ht="15" customHeight="1">
      <c r="N216" s="41"/>
      <c r="O216" s="41"/>
    </row>
    <row r="217" spans="1:15" s="41" customFormat="1" ht="15" customHeight="1">
      <c r="A217" s="93"/>
      <c r="B217" s="131"/>
      <c r="C217" s="38"/>
      <c r="D217" s="66"/>
      <c r="E217" s="64"/>
      <c r="F217" s="79"/>
      <c r="G217" s="80"/>
      <c r="H217" s="37"/>
      <c r="I217" s="63"/>
      <c r="J217" s="64"/>
      <c r="K217" s="64"/>
      <c r="L217" s="64"/>
      <c r="M217" s="82"/>
    </row>
    <row r="218" spans="1:15" s="41" customFormat="1" ht="15" customHeight="1">
      <c r="A218" s="93"/>
      <c r="B218" s="131"/>
      <c r="C218" s="38"/>
      <c r="D218" s="66"/>
      <c r="E218" s="64"/>
      <c r="F218" s="79"/>
      <c r="G218" s="80"/>
      <c r="H218" s="37"/>
      <c r="I218" s="63"/>
      <c r="J218" s="64"/>
      <c r="K218" s="64"/>
      <c r="L218" s="64"/>
      <c r="M218" s="82"/>
      <c r="N218" s="37"/>
      <c r="O218" s="37"/>
    </row>
    <row r="219" spans="1:15" s="41" customFormat="1" ht="15" customHeight="1">
      <c r="A219" s="93"/>
      <c r="B219" s="131"/>
      <c r="C219" s="38"/>
      <c r="D219" s="66"/>
      <c r="E219" s="64"/>
      <c r="F219" s="79"/>
      <c r="G219" s="80"/>
      <c r="H219" s="37"/>
      <c r="I219" s="63"/>
      <c r="J219" s="64"/>
      <c r="K219" s="64"/>
      <c r="L219" s="64"/>
      <c r="M219" s="82"/>
      <c r="N219" s="37"/>
      <c r="O219" s="37"/>
    </row>
    <row r="220" spans="1:15" ht="15" customHeight="1">
      <c r="N220" s="41"/>
      <c r="O220" s="41"/>
    </row>
    <row r="221" spans="1:15" ht="15" customHeight="1">
      <c r="N221" s="41"/>
      <c r="O221" s="41"/>
    </row>
    <row r="222" spans="1:15" s="41" customFormat="1" ht="15" customHeight="1">
      <c r="A222" s="93"/>
      <c r="B222" s="131"/>
      <c r="C222" s="38"/>
      <c r="D222" s="66"/>
      <c r="E222" s="64"/>
      <c r="F222" s="79"/>
      <c r="G222" s="80"/>
      <c r="H222" s="37"/>
      <c r="I222" s="63"/>
      <c r="J222" s="64"/>
      <c r="K222" s="64"/>
      <c r="L222" s="64"/>
      <c r="M222" s="82"/>
    </row>
    <row r="223" spans="1:15" s="41" customFormat="1" ht="15" customHeight="1">
      <c r="A223" s="93"/>
      <c r="B223" s="131"/>
      <c r="C223" s="38"/>
      <c r="D223" s="66"/>
      <c r="E223" s="64"/>
      <c r="F223" s="79"/>
      <c r="G223" s="80"/>
      <c r="H223" s="37"/>
      <c r="I223" s="63"/>
      <c r="J223" s="64"/>
      <c r="K223" s="64"/>
      <c r="L223" s="64"/>
      <c r="M223" s="82"/>
    </row>
    <row r="224" spans="1:15" s="41" customFormat="1" ht="15" customHeight="1">
      <c r="A224" s="93"/>
      <c r="B224" s="131"/>
      <c r="C224" s="38"/>
      <c r="D224" s="66"/>
      <c r="E224" s="64"/>
      <c r="F224" s="79"/>
      <c r="G224" s="80"/>
      <c r="H224" s="37"/>
      <c r="I224" s="63"/>
      <c r="J224" s="64"/>
      <c r="K224" s="64"/>
      <c r="L224" s="64"/>
      <c r="M224" s="82"/>
      <c r="N224" s="37"/>
      <c r="O224" s="37"/>
    </row>
    <row r="225" spans="1:15" s="41" customFormat="1" ht="15" customHeight="1">
      <c r="A225" s="93"/>
      <c r="B225" s="131"/>
      <c r="C225" s="38"/>
      <c r="D225" s="66"/>
      <c r="E225" s="64"/>
      <c r="F225" s="79"/>
      <c r="G225" s="80"/>
      <c r="H225" s="37"/>
      <c r="I225" s="63"/>
      <c r="J225" s="64"/>
      <c r="K225" s="64"/>
      <c r="L225" s="64"/>
      <c r="M225" s="82"/>
      <c r="N225" s="37"/>
      <c r="O225" s="37"/>
    </row>
    <row r="226" spans="1:15" s="41" customFormat="1" ht="15" customHeight="1">
      <c r="A226" s="93"/>
      <c r="B226" s="131"/>
      <c r="C226" s="38"/>
      <c r="D226" s="66"/>
      <c r="E226" s="64"/>
      <c r="F226" s="79"/>
      <c r="G226" s="80"/>
      <c r="H226" s="37"/>
      <c r="I226" s="63"/>
      <c r="J226" s="64"/>
      <c r="K226" s="64"/>
      <c r="L226" s="64"/>
      <c r="M226" s="82"/>
    </row>
    <row r="227" spans="1:15" ht="15" customHeight="1">
      <c r="N227" s="41"/>
      <c r="O227" s="41"/>
    </row>
    <row r="228" spans="1:15" ht="15" customHeight="1">
      <c r="N228" s="41"/>
      <c r="O228" s="41"/>
    </row>
    <row r="229" spans="1:15" s="41" customFormat="1" ht="15" customHeight="1">
      <c r="A229" s="93"/>
      <c r="B229" s="131"/>
      <c r="C229" s="38"/>
      <c r="D229" s="66"/>
      <c r="E229" s="64"/>
      <c r="F229" s="79"/>
      <c r="G229" s="80"/>
      <c r="H229" s="37"/>
      <c r="I229" s="63"/>
      <c r="J229" s="64"/>
      <c r="K229" s="64"/>
      <c r="L229" s="64"/>
      <c r="M229" s="82"/>
      <c r="N229" s="37"/>
      <c r="O229" s="37"/>
    </row>
    <row r="230" spans="1:15" s="41" customFormat="1" ht="15" customHeight="1">
      <c r="A230" s="93"/>
      <c r="B230" s="131"/>
      <c r="C230" s="38"/>
      <c r="D230" s="66"/>
      <c r="E230" s="64"/>
      <c r="F230" s="79"/>
      <c r="G230" s="80"/>
      <c r="H230" s="37"/>
      <c r="I230" s="63"/>
      <c r="J230" s="64"/>
      <c r="K230" s="64"/>
      <c r="L230" s="64"/>
      <c r="M230" s="82"/>
      <c r="N230" s="37"/>
      <c r="O230" s="37"/>
    </row>
    <row r="231" spans="1:15" s="41" customFormat="1" ht="15" customHeight="1">
      <c r="A231" s="93"/>
      <c r="B231" s="131"/>
      <c r="C231" s="38"/>
      <c r="D231" s="66"/>
      <c r="E231" s="64"/>
      <c r="F231" s="79"/>
      <c r="G231" s="80"/>
      <c r="H231" s="37"/>
      <c r="I231" s="63"/>
      <c r="J231" s="64"/>
      <c r="K231" s="64"/>
      <c r="L231" s="64"/>
      <c r="M231" s="82"/>
    </row>
    <row r="232" spans="1:15" ht="15" customHeight="1">
      <c r="N232" s="41"/>
      <c r="O232" s="41"/>
    </row>
    <row r="233" spans="1:15" s="22" customFormat="1" ht="15" customHeight="1">
      <c r="A233" s="93"/>
      <c r="B233" s="131"/>
      <c r="C233" s="38"/>
      <c r="D233" s="66"/>
      <c r="E233" s="64"/>
      <c r="F233" s="79"/>
      <c r="G233" s="80"/>
      <c r="H233" s="37"/>
      <c r="I233" s="63"/>
      <c r="J233" s="64"/>
      <c r="K233" s="64"/>
      <c r="L233" s="64"/>
      <c r="M233" s="82"/>
      <c r="N233" s="41"/>
      <c r="O233" s="41"/>
    </row>
    <row r="234" spans="1:15" ht="15" customHeight="1"/>
    <row r="235" spans="1:15" s="41" customFormat="1" ht="15" customHeight="1">
      <c r="A235" s="93"/>
      <c r="B235" s="131"/>
      <c r="C235" s="38"/>
      <c r="D235" s="66"/>
      <c r="E235" s="64"/>
      <c r="F235" s="79"/>
      <c r="G235" s="80"/>
      <c r="H235" s="37"/>
      <c r="I235" s="63"/>
      <c r="J235" s="64"/>
      <c r="K235" s="64"/>
      <c r="L235" s="64"/>
      <c r="M235" s="82"/>
      <c r="N235" s="37"/>
      <c r="O235" s="37"/>
    </row>
    <row r="236" spans="1:15" s="41" customFormat="1" ht="15" customHeight="1">
      <c r="A236" s="93"/>
      <c r="B236" s="131"/>
      <c r="C236" s="38"/>
      <c r="D236" s="66"/>
      <c r="E236" s="64"/>
      <c r="F236" s="79"/>
      <c r="G236" s="80"/>
      <c r="H236" s="37"/>
      <c r="I236" s="63"/>
      <c r="J236" s="64"/>
      <c r="K236" s="64"/>
      <c r="L236" s="64"/>
      <c r="M236" s="82"/>
    </row>
    <row r="237" spans="1:15" s="41" customFormat="1" ht="15" customHeight="1">
      <c r="A237" s="93"/>
      <c r="B237" s="131"/>
      <c r="C237" s="38"/>
      <c r="D237" s="66"/>
      <c r="E237" s="64"/>
      <c r="F237" s="79"/>
      <c r="G237" s="80"/>
      <c r="H237" s="37"/>
      <c r="I237" s="63"/>
      <c r="J237" s="64"/>
      <c r="K237" s="64"/>
      <c r="L237" s="64"/>
      <c r="M237" s="82"/>
    </row>
    <row r="238" spans="1:15" s="41" customFormat="1" ht="15" customHeight="1">
      <c r="A238" s="93"/>
      <c r="B238" s="131"/>
      <c r="C238" s="38"/>
      <c r="D238" s="66"/>
      <c r="E238" s="64"/>
      <c r="F238" s="79"/>
      <c r="G238" s="80"/>
      <c r="H238" s="37"/>
      <c r="I238" s="63"/>
      <c r="J238" s="64"/>
      <c r="K238" s="64"/>
      <c r="L238" s="64"/>
      <c r="M238" s="82"/>
    </row>
    <row r="239" spans="1:15" ht="15" customHeight="1"/>
    <row r="240" spans="1:15" s="22" customFormat="1" ht="15" customHeight="1">
      <c r="A240" s="93"/>
      <c r="B240" s="131"/>
      <c r="C240" s="38"/>
      <c r="D240" s="66"/>
      <c r="E240" s="64"/>
      <c r="F240" s="79"/>
      <c r="G240" s="80"/>
      <c r="H240" s="37"/>
      <c r="I240" s="63"/>
      <c r="J240" s="64"/>
      <c r="K240" s="64"/>
      <c r="L240" s="64"/>
      <c r="M240" s="82"/>
      <c r="N240" s="37"/>
      <c r="O240" s="37"/>
    </row>
    <row r="241" spans="1:15" s="22" customFormat="1" ht="15" customHeight="1">
      <c r="A241" s="93"/>
      <c r="B241" s="131"/>
      <c r="C241" s="38"/>
      <c r="D241" s="66"/>
      <c r="E241" s="64"/>
      <c r="F241" s="79"/>
      <c r="G241" s="80"/>
      <c r="H241" s="37"/>
      <c r="I241" s="63"/>
      <c r="J241" s="64"/>
      <c r="K241" s="64"/>
      <c r="L241" s="64"/>
      <c r="M241" s="82"/>
      <c r="N241" s="41"/>
      <c r="O241" s="41"/>
    </row>
    <row r="242" spans="1:15" s="22" customFormat="1" ht="15" customHeight="1">
      <c r="A242" s="93"/>
      <c r="B242" s="131"/>
      <c r="C242" s="38"/>
      <c r="D242" s="66"/>
      <c r="E242" s="64"/>
      <c r="F242" s="79"/>
      <c r="G242" s="80"/>
      <c r="H242" s="37"/>
      <c r="I242" s="63"/>
      <c r="J242" s="64"/>
      <c r="K242" s="64"/>
      <c r="L242" s="64"/>
      <c r="M242" s="82"/>
      <c r="N242" s="41"/>
      <c r="O242" s="41"/>
    </row>
    <row r="243" spans="1:15" s="22" customFormat="1" ht="15" customHeight="1">
      <c r="A243" s="93"/>
      <c r="B243" s="131"/>
      <c r="C243" s="38"/>
      <c r="D243" s="66"/>
      <c r="E243" s="64"/>
      <c r="F243" s="79"/>
      <c r="G243" s="80"/>
      <c r="H243" s="37"/>
      <c r="I243" s="63"/>
      <c r="J243" s="64"/>
      <c r="K243" s="64"/>
      <c r="L243" s="64"/>
      <c r="M243" s="82"/>
      <c r="N243" s="41"/>
      <c r="O243" s="41"/>
    </row>
    <row r="244" spans="1:15" s="22" customFormat="1" ht="15" customHeight="1">
      <c r="A244" s="93"/>
      <c r="B244" s="131"/>
      <c r="C244" s="38"/>
      <c r="D244" s="66"/>
      <c r="E244" s="64"/>
      <c r="F244" s="79"/>
      <c r="G244" s="80"/>
      <c r="H244" s="37"/>
      <c r="I244" s="63"/>
      <c r="J244" s="64"/>
      <c r="K244" s="64"/>
      <c r="L244" s="64"/>
      <c r="M244" s="82"/>
      <c r="N244" s="41"/>
      <c r="O244" s="41"/>
    </row>
    <row r="245" spans="1:15" s="22" customFormat="1" ht="15" customHeight="1">
      <c r="A245" s="93"/>
      <c r="B245" s="131"/>
      <c r="C245" s="38"/>
      <c r="D245" s="66"/>
      <c r="E245" s="64"/>
      <c r="F245" s="79"/>
      <c r="G245" s="80"/>
      <c r="H245" s="37"/>
      <c r="I245" s="63"/>
      <c r="J245" s="64"/>
      <c r="K245" s="64"/>
      <c r="L245" s="64"/>
      <c r="M245" s="82"/>
      <c r="N245" s="41"/>
      <c r="O245" s="41"/>
    </row>
    <row r="246" spans="1:15" s="22" customFormat="1" ht="15" customHeight="1">
      <c r="A246" s="93"/>
      <c r="B246" s="131"/>
      <c r="C246" s="38"/>
      <c r="D246" s="66"/>
      <c r="E246" s="64"/>
      <c r="F246" s="79"/>
      <c r="G246" s="80"/>
      <c r="H246" s="37"/>
      <c r="I246" s="63"/>
      <c r="J246" s="64"/>
      <c r="K246" s="64"/>
      <c r="L246" s="64"/>
      <c r="M246" s="82"/>
      <c r="N246" s="37"/>
      <c r="O246" s="37"/>
    </row>
    <row r="247" spans="1:15" s="22" customFormat="1" ht="15" customHeight="1">
      <c r="A247" s="93"/>
      <c r="B247" s="131"/>
      <c r="C247" s="38"/>
      <c r="D247" s="66"/>
      <c r="E247" s="64"/>
      <c r="F247" s="79"/>
      <c r="G247" s="80"/>
      <c r="H247" s="37"/>
      <c r="I247" s="63"/>
      <c r="J247" s="64"/>
      <c r="K247" s="64"/>
      <c r="L247" s="64"/>
      <c r="M247" s="82"/>
      <c r="N247" s="37"/>
      <c r="O247" s="37"/>
    </row>
    <row r="248" spans="1:15" s="22" customFormat="1" ht="15" customHeight="1">
      <c r="A248" s="93"/>
      <c r="B248" s="131"/>
      <c r="C248" s="38"/>
      <c r="D248" s="66"/>
      <c r="E248" s="64"/>
      <c r="F248" s="79"/>
      <c r="G248" s="80"/>
      <c r="H248" s="37"/>
      <c r="I248" s="63"/>
      <c r="J248" s="64"/>
      <c r="K248" s="64"/>
      <c r="L248" s="64"/>
      <c r="M248" s="82"/>
      <c r="N248" s="41"/>
      <c r="O248" s="41"/>
    </row>
    <row r="249" spans="1:15" s="22" customFormat="1" ht="15" customHeight="1">
      <c r="A249" s="93"/>
      <c r="B249" s="131"/>
      <c r="C249" s="38"/>
      <c r="D249" s="66"/>
      <c r="E249" s="64"/>
      <c r="F249" s="79"/>
      <c r="G249" s="80"/>
      <c r="H249" s="37"/>
      <c r="I249" s="63"/>
      <c r="J249" s="64"/>
      <c r="K249" s="64"/>
      <c r="L249" s="64"/>
      <c r="M249" s="82"/>
      <c r="N249" s="41"/>
      <c r="O249" s="41"/>
    </row>
    <row r="250" spans="1:15" ht="15" customHeight="1">
      <c r="N250" s="41"/>
      <c r="O250" s="41"/>
    </row>
    <row r="251" spans="1:15" s="41" customFormat="1" ht="15" customHeight="1">
      <c r="A251" s="93"/>
      <c r="B251" s="131"/>
      <c r="C251" s="38"/>
      <c r="D251" s="66"/>
      <c r="E251" s="64"/>
      <c r="F251" s="79"/>
      <c r="G251" s="80"/>
      <c r="H251" s="37"/>
      <c r="I251" s="63"/>
      <c r="J251" s="64"/>
      <c r="K251" s="64"/>
      <c r="L251" s="64"/>
      <c r="M251" s="82"/>
      <c r="N251" s="37"/>
      <c r="O251" s="37"/>
    </row>
    <row r="252" spans="1:15" s="41" customFormat="1" ht="15" customHeight="1">
      <c r="A252" s="93"/>
      <c r="B252" s="131"/>
      <c r="C252" s="38"/>
      <c r="D252" s="66"/>
      <c r="E252" s="64"/>
      <c r="F252" s="79"/>
      <c r="G252" s="80"/>
      <c r="H252" s="37"/>
      <c r="I252" s="63"/>
      <c r="J252" s="64"/>
      <c r="K252" s="64"/>
      <c r="L252" s="64"/>
      <c r="M252" s="82"/>
      <c r="N252" s="22"/>
      <c r="O252" s="22"/>
    </row>
    <row r="253" spans="1:15" s="41" customFormat="1" ht="15" customHeight="1">
      <c r="A253" s="93"/>
      <c r="B253" s="131"/>
      <c r="C253" s="38"/>
      <c r="D253" s="66"/>
      <c r="E253" s="64"/>
      <c r="F253" s="79"/>
      <c r="G253" s="80"/>
      <c r="H253" s="37"/>
      <c r="I253" s="63"/>
      <c r="J253" s="64"/>
      <c r="K253" s="64"/>
      <c r="L253" s="64"/>
      <c r="M253" s="82"/>
      <c r="N253" s="37"/>
      <c r="O253" s="37"/>
    </row>
    <row r="254" spans="1:15" s="41" customFormat="1" ht="15" customHeight="1">
      <c r="A254" s="93"/>
      <c r="B254" s="131"/>
      <c r="C254" s="38"/>
      <c r="D254" s="66"/>
      <c r="E254" s="64"/>
      <c r="F254" s="79"/>
      <c r="G254" s="80"/>
      <c r="H254" s="37"/>
      <c r="I254" s="63"/>
      <c r="J254" s="64"/>
      <c r="K254" s="64"/>
      <c r="L254" s="64"/>
      <c r="M254" s="82"/>
    </row>
    <row r="255" spans="1:15" ht="15" customHeight="1">
      <c r="N255" s="41"/>
      <c r="O255" s="41"/>
    </row>
    <row r="256" spans="1:15" s="22" customFormat="1" ht="15" customHeight="1">
      <c r="A256" s="93"/>
      <c r="B256" s="131"/>
      <c r="C256" s="38"/>
      <c r="D256" s="66"/>
      <c r="E256" s="64"/>
      <c r="F256" s="79"/>
      <c r="G256" s="80"/>
      <c r="H256" s="37"/>
      <c r="I256" s="63"/>
      <c r="J256" s="64"/>
      <c r="K256" s="64"/>
      <c r="L256" s="64"/>
      <c r="M256" s="82"/>
      <c r="N256" s="41"/>
      <c r="O256" s="41"/>
    </row>
    <row r="257" spans="1:15" s="22" customFormat="1" ht="15" customHeight="1">
      <c r="A257" s="93"/>
      <c r="B257" s="131"/>
      <c r="C257" s="38"/>
      <c r="D257" s="66"/>
      <c r="E257" s="64"/>
      <c r="F257" s="79"/>
      <c r="G257" s="80"/>
      <c r="H257" s="37"/>
      <c r="I257" s="63"/>
      <c r="J257" s="64"/>
      <c r="K257" s="64"/>
      <c r="L257" s="64"/>
      <c r="M257" s="82"/>
      <c r="N257" s="41"/>
      <c r="O257" s="41"/>
    </row>
    <row r="258" spans="1:15" s="22" customFormat="1" ht="15" customHeight="1">
      <c r="A258" s="93"/>
      <c r="B258" s="131"/>
      <c r="C258" s="38"/>
      <c r="D258" s="66"/>
      <c r="E258" s="64"/>
      <c r="F258" s="79"/>
      <c r="G258" s="80"/>
      <c r="H258" s="37"/>
      <c r="I258" s="63"/>
      <c r="J258" s="64"/>
      <c r="K258" s="64"/>
      <c r="L258" s="64"/>
      <c r="M258" s="82"/>
      <c r="N258" s="37"/>
      <c r="O258" s="37"/>
    </row>
    <row r="259" spans="1:15" s="22" customFormat="1" ht="15" customHeight="1">
      <c r="A259" s="93"/>
      <c r="B259" s="131"/>
      <c r="C259" s="38"/>
      <c r="D259" s="66"/>
      <c r="E259" s="64"/>
      <c r="F259" s="79"/>
      <c r="G259" s="80"/>
      <c r="H259" s="37"/>
      <c r="I259" s="63"/>
      <c r="J259" s="64"/>
      <c r="K259" s="64"/>
      <c r="L259" s="64"/>
      <c r="M259" s="82"/>
    </row>
    <row r="260" spans="1:15" s="22" customFormat="1" ht="15" customHeight="1">
      <c r="A260" s="93"/>
      <c r="B260" s="131"/>
      <c r="C260" s="38"/>
      <c r="D260" s="66"/>
      <c r="E260" s="64"/>
      <c r="F260" s="79"/>
      <c r="G260" s="80"/>
      <c r="H260" s="37"/>
      <c r="I260" s="63"/>
      <c r="J260" s="64"/>
      <c r="K260" s="64"/>
      <c r="L260" s="64"/>
      <c r="M260" s="82"/>
    </row>
    <row r="261" spans="1:15" s="22" customFormat="1" ht="15" customHeight="1">
      <c r="A261" s="93"/>
      <c r="B261" s="131"/>
      <c r="C261" s="38"/>
      <c r="D261" s="66"/>
      <c r="E261" s="64"/>
      <c r="F261" s="79"/>
      <c r="G261" s="80"/>
      <c r="H261" s="37"/>
      <c r="I261" s="63"/>
      <c r="J261" s="64"/>
      <c r="K261" s="64"/>
      <c r="L261" s="64"/>
      <c r="M261" s="82"/>
    </row>
    <row r="262" spans="1:15" s="22" customFormat="1" ht="15" customHeight="1">
      <c r="A262" s="93"/>
      <c r="B262" s="131"/>
      <c r="C262" s="38"/>
      <c r="D262" s="66"/>
      <c r="E262" s="64"/>
      <c r="F262" s="79"/>
      <c r="G262" s="80"/>
      <c r="H262" s="37"/>
      <c r="I262" s="63"/>
      <c r="J262" s="64"/>
      <c r="K262" s="64"/>
      <c r="L262" s="64"/>
      <c r="M262" s="82"/>
    </row>
    <row r="263" spans="1:15" s="22" customFormat="1" ht="15" customHeight="1">
      <c r="A263" s="93"/>
      <c r="B263" s="131"/>
      <c r="C263" s="38"/>
      <c r="D263" s="66"/>
      <c r="E263" s="64"/>
      <c r="F263" s="79"/>
      <c r="G263" s="80"/>
      <c r="H263" s="37"/>
      <c r="I263" s="63"/>
      <c r="J263" s="64"/>
      <c r="K263" s="64"/>
      <c r="L263" s="64"/>
      <c r="M263" s="82"/>
    </row>
    <row r="264" spans="1:15" s="22" customFormat="1" ht="15" customHeight="1">
      <c r="A264" s="93"/>
      <c r="B264" s="131"/>
      <c r="C264" s="38"/>
      <c r="D264" s="66"/>
      <c r="E264" s="64"/>
      <c r="F264" s="79"/>
      <c r="G264" s="80"/>
      <c r="H264" s="37"/>
      <c r="I264" s="63"/>
      <c r="J264" s="64"/>
      <c r="K264" s="64"/>
      <c r="L264" s="64"/>
      <c r="M264" s="82"/>
    </row>
    <row r="265" spans="1:15" s="22" customFormat="1" ht="15" customHeight="1">
      <c r="A265" s="93"/>
      <c r="B265" s="131"/>
      <c r="C265" s="38"/>
      <c r="D265" s="66"/>
      <c r="E265" s="64"/>
      <c r="F265" s="79"/>
      <c r="G265" s="80"/>
      <c r="H265" s="37"/>
      <c r="I265" s="63"/>
      <c r="J265" s="64"/>
      <c r="K265" s="64"/>
      <c r="L265" s="64"/>
      <c r="M265" s="82"/>
    </row>
    <row r="266" spans="1:15" ht="15" customHeight="1">
      <c r="N266" s="22"/>
      <c r="O266" s="22"/>
    </row>
    <row r="267" spans="1:15" ht="15" customHeight="1">
      <c r="N267" s="22"/>
      <c r="O267" s="22"/>
    </row>
    <row r="268" spans="1:15" ht="15" customHeight="1">
      <c r="N268" s="22"/>
      <c r="O268" s="22"/>
    </row>
    <row r="269" spans="1:15" ht="33.75" customHeight="1"/>
    <row r="270" spans="1:15" s="41" customFormat="1" ht="15" customHeight="1">
      <c r="A270" s="93"/>
      <c r="B270" s="131"/>
      <c r="C270" s="38"/>
      <c r="D270" s="66"/>
      <c r="E270" s="64"/>
      <c r="F270" s="79"/>
      <c r="G270" s="80"/>
      <c r="H270" s="37"/>
      <c r="I270" s="63"/>
      <c r="J270" s="64"/>
      <c r="K270" s="64"/>
      <c r="L270" s="64"/>
      <c r="M270" s="82"/>
    </row>
    <row r="271" spans="1:15" s="41" customFormat="1" ht="15" customHeight="1">
      <c r="A271" s="93"/>
      <c r="B271" s="131"/>
      <c r="C271" s="38"/>
      <c r="D271" s="66"/>
      <c r="E271" s="64"/>
      <c r="F271" s="79"/>
      <c r="G271" s="80"/>
      <c r="H271" s="37"/>
      <c r="I271" s="63"/>
      <c r="J271" s="64"/>
      <c r="K271" s="64"/>
      <c r="L271" s="64"/>
      <c r="M271" s="82"/>
    </row>
    <row r="272" spans="1:15" s="41" customFormat="1" ht="15" customHeight="1">
      <c r="A272" s="93"/>
      <c r="B272" s="131"/>
      <c r="C272" s="38"/>
      <c r="D272" s="66"/>
      <c r="E272" s="64"/>
      <c r="F272" s="79"/>
      <c r="G272" s="80"/>
      <c r="H272" s="37"/>
      <c r="I272" s="63"/>
      <c r="J272" s="64"/>
      <c r="K272" s="64"/>
      <c r="L272" s="64"/>
      <c r="M272" s="82"/>
    </row>
    <row r="273" spans="1:15" s="41" customFormat="1" ht="15" customHeight="1">
      <c r="A273" s="93"/>
      <c r="B273" s="131"/>
      <c r="C273" s="38"/>
      <c r="D273" s="66"/>
      <c r="E273" s="64"/>
      <c r="F273" s="79"/>
      <c r="G273" s="80"/>
      <c r="H273" s="37"/>
      <c r="I273" s="63"/>
      <c r="J273" s="64"/>
      <c r="K273" s="64"/>
      <c r="L273" s="64"/>
      <c r="M273" s="82"/>
    </row>
    <row r="274" spans="1:15" s="41" customFormat="1" ht="15" customHeight="1">
      <c r="A274" s="93"/>
      <c r="B274" s="131"/>
      <c r="C274" s="38"/>
      <c r="D274" s="66"/>
      <c r="E274" s="64"/>
      <c r="F274" s="79"/>
      <c r="G274" s="80"/>
      <c r="H274" s="37"/>
      <c r="I274" s="63"/>
      <c r="J274" s="64"/>
      <c r="K274" s="64"/>
      <c r="L274" s="64"/>
      <c r="M274" s="82"/>
      <c r="N274" s="37"/>
      <c r="O274" s="37"/>
    </row>
    <row r="275" spans="1:15" ht="15" customHeight="1">
      <c r="N275" s="22"/>
      <c r="O275" s="22"/>
    </row>
    <row r="276" spans="1:15" ht="15" customHeight="1">
      <c r="N276" s="22"/>
      <c r="O276" s="22"/>
    </row>
    <row r="277" spans="1:15" s="41" customFormat="1" ht="15" customHeight="1">
      <c r="A277" s="93"/>
      <c r="B277" s="131"/>
      <c r="C277" s="38"/>
      <c r="D277" s="66"/>
      <c r="E277" s="64"/>
      <c r="F277" s="79"/>
      <c r="G277" s="80"/>
      <c r="H277" s="37"/>
      <c r="I277" s="63"/>
      <c r="J277" s="64"/>
      <c r="K277" s="64"/>
      <c r="L277" s="64"/>
      <c r="M277" s="82"/>
      <c r="N277" s="22"/>
      <c r="O277" s="22"/>
    </row>
    <row r="278" spans="1:15" s="41" customFormat="1" ht="15" customHeight="1">
      <c r="A278" s="93"/>
      <c r="B278" s="131"/>
      <c r="C278" s="38"/>
      <c r="D278" s="66"/>
      <c r="E278" s="64"/>
      <c r="F278" s="79"/>
      <c r="G278" s="80"/>
      <c r="H278" s="37"/>
      <c r="I278" s="63"/>
      <c r="J278" s="64"/>
      <c r="K278" s="64"/>
      <c r="L278" s="64"/>
      <c r="M278" s="82"/>
      <c r="N278" s="22"/>
      <c r="O278" s="22"/>
    </row>
    <row r="279" spans="1:15" s="41" customFormat="1" ht="15" customHeight="1">
      <c r="A279" s="93"/>
      <c r="B279" s="131"/>
      <c r="C279" s="38"/>
      <c r="D279" s="66"/>
      <c r="E279" s="64"/>
      <c r="F279" s="79"/>
      <c r="G279" s="80"/>
      <c r="H279" s="37"/>
      <c r="I279" s="63"/>
      <c r="J279" s="64"/>
      <c r="K279" s="64"/>
      <c r="L279" s="64"/>
      <c r="M279" s="82"/>
      <c r="N279" s="22"/>
      <c r="O279" s="22"/>
    </row>
    <row r="280" spans="1:15" s="41" customFormat="1" ht="15" customHeight="1">
      <c r="A280" s="93"/>
      <c r="B280" s="131"/>
      <c r="C280" s="38"/>
      <c r="D280" s="66"/>
      <c r="E280" s="64"/>
      <c r="F280" s="79"/>
      <c r="G280" s="80"/>
      <c r="H280" s="37"/>
      <c r="I280" s="63"/>
      <c r="J280" s="64"/>
      <c r="K280" s="64"/>
      <c r="L280" s="64"/>
      <c r="M280" s="82"/>
      <c r="N280" s="22"/>
      <c r="O280" s="22"/>
    </row>
    <row r="281" spans="1:15" ht="15" customHeight="1">
      <c r="N281" s="22"/>
      <c r="O281" s="22"/>
    </row>
    <row r="282" spans="1:15" ht="15" customHeight="1">
      <c r="N282" s="22"/>
      <c r="O282" s="22"/>
    </row>
    <row r="283" spans="1:15" s="41" customFormat="1" ht="15" customHeight="1">
      <c r="A283" s="93"/>
      <c r="B283" s="131"/>
      <c r="C283" s="38"/>
      <c r="D283" s="66"/>
      <c r="E283" s="64"/>
      <c r="F283" s="79"/>
      <c r="G283" s="80"/>
      <c r="H283" s="37"/>
      <c r="I283" s="63"/>
      <c r="J283" s="64"/>
      <c r="K283" s="64"/>
      <c r="L283" s="64"/>
      <c r="M283" s="82"/>
      <c r="N283" s="22"/>
      <c r="O283" s="22"/>
    </row>
    <row r="284" spans="1:15" s="41" customFormat="1" ht="15" customHeight="1">
      <c r="A284" s="93"/>
      <c r="B284" s="131"/>
      <c r="C284" s="38"/>
      <c r="D284" s="66"/>
      <c r="E284" s="64"/>
      <c r="F284" s="79"/>
      <c r="G284" s="80"/>
      <c r="H284" s="37"/>
      <c r="I284" s="63"/>
      <c r="J284" s="64"/>
      <c r="K284" s="64"/>
      <c r="L284" s="64"/>
      <c r="M284" s="82"/>
      <c r="N284" s="22"/>
      <c r="O284" s="22"/>
    </row>
    <row r="285" spans="1:15" s="41" customFormat="1" ht="15" customHeight="1">
      <c r="A285" s="93"/>
      <c r="B285" s="131"/>
      <c r="C285" s="38"/>
      <c r="D285" s="66"/>
      <c r="E285" s="64"/>
      <c r="F285" s="79"/>
      <c r="G285" s="80"/>
      <c r="H285" s="37"/>
      <c r="I285" s="63"/>
      <c r="J285" s="64"/>
      <c r="K285" s="64"/>
      <c r="L285" s="64"/>
      <c r="M285" s="82"/>
      <c r="N285" s="37"/>
      <c r="O285" s="37"/>
    </row>
    <row r="286" spans="1:15" s="41" customFormat="1" ht="15" customHeight="1">
      <c r="A286" s="93"/>
      <c r="B286" s="131"/>
      <c r="C286" s="38"/>
      <c r="D286" s="66"/>
      <c r="E286" s="64"/>
      <c r="F286" s="79"/>
      <c r="G286" s="80"/>
      <c r="H286" s="37"/>
      <c r="I286" s="63"/>
      <c r="J286" s="64"/>
      <c r="K286" s="64"/>
      <c r="L286" s="64"/>
      <c r="M286" s="82"/>
      <c r="N286" s="37"/>
      <c r="O286" s="37"/>
    </row>
    <row r="287" spans="1:15" s="41" customFormat="1" ht="15" customHeight="1">
      <c r="A287" s="93"/>
      <c r="B287" s="131"/>
      <c r="C287" s="38"/>
      <c r="D287" s="66"/>
      <c r="E287" s="64"/>
      <c r="F287" s="79"/>
      <c r="G287" s="80"/>
      <c r="H287" s="37"/>
      <c r="I287" s="63"/>
      <c r="J287" s="64"/>
      <c r="K287" s="64"/>
      <c r="L287" s="64"/>
      <c r="M287" s="82"/>
      <c r="N287" s="37"/>
      <c r="O287" s="37"/>
    </row>
    <row r="288" spans="1:15" ht="15" customHeight="1"/>
    <row r="289" spans="1:15" ht="15" customHeight="1">
      <c r="N289" s="41"/>
      <c r="O289" s="41"/>
    </row>
    <row r="290" spans="1:15" s="41" customFormat="1" ht="15" customHeight="1">
      <c r="A290" s="93"/>
      <c r="B290" s="131"/>
      <c r="C290" s="38"/>
      <c r="D290" s="66"/>
      <c r="E290" s="64"/>
      <c r="F290" s="79"/>
      <c r="G290" s="80"/>
      <c r="H290" s="37"/>
      <c r="I290" s="63"/>
      <c r="J290" s="64"/>
      <c r="K290" s="64"/>
      <c r="L290" s="64"/>
      <c r="M290" s="82"/>
    </row>
    <row r="291" spans="1:15" s="41" customFormat="1" ht="15" customHeight="1">
      <c r="A291" s="93"/>
      <c r="B291" s="131"/>
      <c r="C291" s="38"/>
      <c r="D291" s="66"/>
      <c r="E291" s="64"/>
      <c r="F291" s="79"/>
      <c r="G291" s="80"/>
      <c r="H291" s="37"/>
      <c r="I291" s="63"/>
      <c r="J291" s="64"/>
      <c r="K291" s="64"/>
      <c r="L291" s="64"/>
      <c r="M291" s="82"/>
    </row>
    <row r="292" spans="1:15" s="41" customFormat="1" ht="15" customHeight="1">
      <c r="A292" s="93"/>
      <c r="B292" s="131"/>
      <c r="C292" s="38"/>
      <c r="D292" s="66"/>
      <c r="E292" s="64"/>
      <c r="F292" s="79"/>
      <c r="G292" s="80"/>
      <c r="H292" s="37"/>
      <c r="I292" s="63"/>
      <c r="J292" s="64"/>
      <c r="K292" s="64"/>
      <c r="L292" s="64"/>
      <c r="M292" s="82"/>
    </row>
    <row r="293" spans="1:15" s="41" customFormat="1" ht="15" customHeight="1">
      <c r="A293" s="93"/>
      <c r="B293" s="131"/>
      <c r="C293" s="38"/>
      <c r="D293" s="66"/>
      <c r="E293" s="64"/>
      <c r="F293" s="79"/>
      <c r="G293" s="80"/>
      <c r="H293" s="37"/>
      <c r="I293" s="63"/>
      <c r="J293" s="64"/>
      <c r="K293" s="64"/>
      <c r="L293" s="64"/>
      <c r="M293" s="82"/>
    </row>
    <row r="294" spans="1:15" s="41" customFormat="1" ht="15" customHeight="1">
      <c r="A294" s="93"/>
      <c r="B294" s="131"/>
      <c r="C294" s="38"/>
      <c r="D294" s="66"/>
      <c r="E294" s="64"/>
      <c r="F294" s="79"/>
      <c r="G294" s="80"/>
      <c r="H294" s="37"/>
      <c r="I294" s="63"/>
      <c r="J294" s="64"/>
      <c r="K294" s="64"/>
      <c r="L294" s="64"/>
      <c r="M294" s="82"/>
      <c r="N294" s="37"/>
      <c r="O294" s="37"/>
    </row>
    <row r="295" spans="1:15" s="41" customFormat="1" ht="15" customHeight="1">
      <c r="A295" s="93"/>
      <c r="B295" s="131"/>
      <c r="C295" s="38"/>
      <c r="D295" s="66"/>
      <c r="E295" s="64"/>
      <c r="F295" s="79"/>
      <c r="G295" s="80"/>
      <c r="H295" s="37"/>
      <c r="I295" s="63"/>
      <c r="J295" s="64"/>
      <c r="K295" s="64"/>
      <c r="L295" s="64"/>
      <c r="M295" s="82"/>
      <c r="N295" s="37"/>
      <c r="O295" s="37"/>
    </row>
    <row r="296" spans="1:15" s="41" customFormat="1" ht="15" customHeight="1">
      <c r="A296" s="93"/>
      <c r="B296" s="131"/>
      <c r="C296" s="38"/>
      <c r="D296" s="66"/>
      <c r="E296" s="64"/>
      <c r="F296" s="79"/>
      <c r="G296" s="80"/>
      <c r="H296" s="37"/>
      <c r="I296" s="63"/>
      <c r="J296" s="64"/>
      <c r="K296" s="64"/>
      <c r="L296" s="64"/>
      <c r="M296" s="82"/>
    </row>
    <row r="297" spans="1:15" s="41" customFormat="1" ht="15" customHeight="1">
      <c r="A297" s="93"/>
      <c r="B297" s="131"/>
      <c r="C297" s="38"/>
      <c r="D297" s="66"/>
      <c r="E297" s="64"/>
      <c r="F297" s="79"/>
      <c r="G297" s="80"/>
      <c r="H297" s="37"/>
      <c r="I297" s="63"/>
      <c r="J297" s="64"/>
      <c r="K297" s="64"/>
      <c r="L297" s="64"/>
      <c r="M297" s="82"/>
    </row>
    <row r="298" spans="1:15" s="41" customFormat="1" ht="15" customHeight="1">
      <c r="A298" s="93"/>
      <c r="B298" s="131"/>
      <c r="C298" s="38"/>
      <c r="D298" s="66"/>
      <c r="E298" s="64"/>
      <c r="F298" s="79"/>
      <c r="G298" s="80"/>
      <c r="H298" s="37"/>
      <c r="I298" s="63"/>
      <c r="J298" s="64"/>
      <c r="K298" s="64"/>
      <c r="L298" s="64"/>
      <c r="M298" s="82"/>
    </row>
    <row r="299" spans="1:15" s="41" customFormat="1" ht="15" customHeight="1">
      <c r="A299" s="93"/>
      <c r="B299" s="131"/>
      <c r="C299" s="38"/>
      <c r="D299" s="66"/>
      <c r="E299" s="64"/>
      <c r="F299" s="79"/>
      <c r="G299" s="80"/>
      <c r="H299" s="37"/>
      <c r="I299" s="63"/>
      <c r="J299" s="64"/>
      <c r="K299" s="64"/>
      <c r="L299" s="64"/>
      <c r="M299" s="82"/>
    </row>
    <row r="300" spans="1:15" s="41" customFormat="1" ht="15" customHeight="1">
      <c r="A300" s="93"/>
      <c r="B300" s="131"/>
      <c r="C300" s="38"/>
      <c r="D300" s="66"/>
      <c r="E300" s="64"/>
      <c r="F300" s="79"/>
      <c r="G300" s="80"/>
      <c r="H300" s="37"/>
      <c r="I300" s="63"/>
      <c r="J300" s="64"/>
      <c r="K300" s="64"/>
      <c r="L300" s="64"/>
      <c r="M300" s="82"/>
      <c r="N300" s="37"/>
      <c r="O300" s="37"/>
    </row>
    <row r="301" spans="1:15" s="41" customFormat="1" ht="15" customHeight="1">
      <c r="A301" s="93"/>
      <c r="B301" s="131"/>
      <c r="C301" s="38"/>
      <c r="D301" s="66"/>
      <c r="E301" s="64"/>
      <c r="F301" s="79"/>
      <c r="G301" s="80"/>
      <c r="H301" s="37"/>
      <c r="I301" s="63"/>
      <c r="J301" s="64"/>
      <c r="K301" s="64"/>
      <c r="L301" s="64"/>
      <c r="M301" s="82"/>
      <c r="N301" s="37"/>
      <c r="O301" s="37"/>
    </row>
    <row r="302" spans="1:15" s="41" customFormat="1" ht="15" customHeight="1">
      <c r="A302" s="93"/>
      <c r="B302" s="131"/>
      <c r="C302" s="38"/>
      <c r="D302" s="66"/>
      <c r="E302" s="64"/>
      <c r="F302" s="79"/>
      <c r="G302" s="80"/>
      <c r="H302" s="37"/>
      <c r="I302" s="63"/>
      <c r="J302" s="64"/>
      <c r="K302" s="64"/>
      <c r="L302" s="64"/>
      <c r="M302" s="82"/>
    </row>
    <row r="303" spans="1:15" s="41" customFormat="1" ht="15" customHeight="1">
      <c r="A303" s="93"/>
      <c r="B303" s="131"/>
      <c r="C303" s="38"/>
      <c r="D303" s="66"/>
      <c r="E303" s="64"/>
      <c r="F303" s="79"/>
      <c r="G303" s="80"/>
      <c r="H303" s="37"/>
      <c r="I303" s="63"/>
      <c r="J303" s="64"/>
      <c r="K303" s="64"/>
      <c r="L303" s="64"/>
      <c r="M303" s="82"/>
    </row>
    <row r="304" spans="1:15" s="41" customFormat="1" ht="15" customHeight="1">
      <c r="A304" s="93"/>
      <c r="B304" s="131"/>
      <c r="C304" s="38"/>
      <c r="D304" s="66"/>
      <c r="E304" s="64"/>
      <c r="F304" s="79"/>
      <c r="G304" s="80"/>
      <c r="H304" s="37"/>
      <c r="I304" s="63"/>
      <c r="J304" s="64"/>
      <c r="K304" s="64"/>
      <c r="L304" s="64"/>
      <c r="M304" s="82"/>
    </row>
    <row r="305" spans="1:15" s="41" customFormat="1" ht="15" customHeight="1">
      <c r="A305" s="93"/>
      <c r="B305" s="131"/>
      <c r="C305" s="38"/>
      <c r="D305" s="66"/>
      <c r="E305" s="64"/>
      <c r="F305" s="79"/>
      <c r="G305" s="80"/>
      <c r="H305" s="37"/>
      <c r="I305" s="63"/>
      <c r="J305" s="64"/>
      <c r="K305" s="64"/>
      <c r="L305" s="64"/>
      <c r="M305" s="82"/>
    </row>
    <row r="306" spans="1:15" s="41" customFormat="1" ht="15" customHeight="1">
      <c r="A306" s="93"/>
      <c r="B306" s="131"/>
      <c r="C306" s="38"/>
      <c r="D306" s="66"/>
      <c r="E306" s="64"/>
      <c r="F306" s="79"/>
      <c r="G306" s="80"/>
      <c r="H306" s="37"/>
      <c r="I306" s="63"/>
      <c r="J306" s="64"/>
      <c r="K306" s="64"/>
      <c r="L306" s="64"/>
      <c r="M306" s="82"/>
    </row>
    <row r="307" spans="1:15" s="41" customFormat="1" ht="15" customHeight="1">
      <c r="A307" s="93"/>
      <c r="B307" s="131"/>
      <c r="C307" s="38"/>
      <c r="D307" s="66"/>
      <c r="E307" s="64"/>
      <c r="F307" s="79"/>
      <c r="G307" s="80"/>
      <c r="H307" s="37"/>
      <c r="I307" s="63"/>
      <c r="J307" s="64"/>
      <c r="K307" s="64"/>
      <c r="L307" s="64"/>
      <c r="M307" s="82"/>
      <c r="N307" s="37"/>
      <c r="O307" s="37"/>
    </row>
    <row r="308" spans="1:15" s="41" customFormat="1" ht="15" customHeight="1">
      <c r="A308" s="93"/>
      <c r="B308" s="131"/>
      <c r="C308" s="38"/>
      <c r="D308" s="66"/>
      <c r="E308" s="64"/>
      <c r="F308" s="79"/>
      <c r="G308" s="80"/>
      <c r="H308" s="37"/>
      <c r="I308" s="63"/>
      <c r="J308" s="64"/>
      <c r="K308" s="64"/>
      <c r="L308" s="64"/>
      <c r="M308" s="82"/>
      <c r="N308" s="37"/>
      <c r="O308" s="37"/>
    </row>
    <row r="309" spans="1:15" s="41" customFormat="1" ht="15" customHeight="1">
      <c r="A309" s="93"/>
      <c r="B309" s="131"/>
      <c r="C309" s="38"/>
      <c r="D309" s="66"/>
      <c r="E309" s="64"/>
      <c r="F309" s="79"/>
      <c r="G309" s="80"/>
      <c r="H309" s="37"/>
      <c r="I309" s="63"/>
      <c r="J309" s="64"/>
      <c r="K309" s="64"/>
      <c r="L309" s="64"/>
      <c r="M309" s="82"/>
    </row>
    <row r="310" spans="1:15" s="41" customFormat="1" ht="15" customHeight="1">
      <c r="A310" s="93"/>
      <c r="B310" s="131"/>
      <c r="C310" s="38"/>
      <c r="D310" s="66"/>
      <c r="E310" s="64"/>
      <c r="F310" s="79"/>
      <c r="G310" s="80"/>
      <c r="H310" s="37"/>
      <c r="I310" s="63"/>
      <c r="J310" s="64"/>
      <c r="K310" s="64"/>
      <c r="L310" s="64"/>
      <c r="M310" s="82"/>
    </row>
    <row r="311" spans="1:15" s="41" customFormat="1" ht="15" customHeight="1">
      <c r="A311" s="93"/>
      <c r="B311" s="131"/>
      <c r="C311" s="38"/>
      <c r="D311" s="66"/>
      <c r="E311" s="64"/>
      <c r="F311" s="79"/>
      <c r="G311" s="80"/>
      <c r="H311" s="37"/>
      <c r="I311" s="63"/>
      <c r="J311" s="64"/>
      <c r="K311" s="64"/>
      <c r="L311" s="64"/>
      <c r="M311" s="82"/>
    </row>
    <row r="312" spans="1:15" s="41" customFormat="1" ht="15" customHeight="1">
      <c r="A312" s="93"/>
      <c r="B312" s="131"/>
      <c r="C312" s="38"/>
      <c r="D312" s="66"/>
      <c r="E312" s="64"/>
      <c r="F312" s="79"/>
      <c r="G312" s="80"/>
      <c r="H312" s="37"/>
      <c r="I312" s="63"/>
      <c r="J312" s="64"/>
      <c r="K312" s="64"/>
      <c r="L312" s="64"/>
      <c r="M312" s="82"/>
    </row>
    <row r="313" spans="1:15" ht="15" customHeight="1">
      <c r="N313" s="41"/>
      <c r="O313" s="41"/>
    </row>
    <row r="314" spans="1:15" ht="15" customHeight="1">
      <c r="N314" s="41"/>
      <c r="O314" s="41"/>
    </row>
    <row r="315" spans="1:15" s="41" customFormat="1" ht="15" customHeight="1">
      <c r="A315" s="93"/>
      <c r="B315" s="131"/>
      <c r="C315" s="38"/>
      <c r="D315" s="66"/>
      <c r="E315" s="64"/>
      <c r="F315" s="79"/>
      <c r="G315" s="80"/>
      <c r="H315" s="37"/>
      <c r="I315" s="63"/>
      <c r="J315" s="64"/>
      <c r="K315" s="64"/>
      <c r="L315" s="64"/>
      <c r="M315" s="82"/>
    </row>
    <row r="316" spans="1:15" s="41" customFormat="1" ht="15" customHeight="1">
      <c r="A316" s="93"/>
      <c r="B316" s="131"/>
      <c r="C316" s="38"/>
      <c r="D316" s="66"/>
      <c r="E316" s="64"/>
      <c r="F316" s="79"/>
      <c r="G316" s="80"/>
      <c r="H316" s="37"/>
      <c r="I316" s="63"/>
      <c r="J316" s="64"/>
      <c r="K316" s="64"/>
      <c r="L316" s="64"/>
      <c r="M316" s="82"/>
    </row>
    <row r="317" spans="1:15" s="41" customFormat="1" ht="15" customHeight="1">
      <c r="A317" s="93"/>
      <c r="B317" s="131"/>
      <c r="C317" s="38"/>
      <c r="D317" s="66"/>
      <c r="E317" s="64"/>
      <c r="F317" s="79"/>
      <c r="G317" s="80"/>
      <c r="H317" s="37"/>
      <c r="I317" s="63"/>
      <c r="J317" s="64"/>
      <c r="K317" s="64"/>
      <c r="L317" s="64"/>
      <c r="M317" s="82"/>
    </row>
    <row r="318" spans="1:15" s="41" customFormat="1" ht="15" customHeight="1">
      <c r="A318" s="93"/>
      <c r="B318" s="131"/>
      <c r="C318" s="38"/>
      <c r="D318" s="66"/>
      <c r="E318" s="64"/>
      <c r="F318" s="79"/>
      <c r="G318" s="80"/>
      <c r="H318" s="37"/>
      <c r="I318" s="63"/>
      <c r="J318" s="64"/>
      <c r="K318" s="64"/>
      <c r="L318" s="64"/>
      <c r="M318" s="82"/>
    </row>
    <row r="319" spans="1:15" s="41" customFormat="1" ht="15" customHeight="1">
      <c r="A319" s="93"/>
      <c r="B319" s="131"/>
      <c r="C319" s="38"/>
      <c r="D319" s="66"/>
      <c r="E319" s="64"/>
      <c r="F319" s="79"/>
      <c r="G319" s="80"/>
      <c r="H319" s="37"/>
      <c r="I319" s="63"/>
      <c r="J319" s="64"/>
      <c r="K319" s="64"/>
      <c r="L319" s="64"/>
      <c r="M319" s="82"/>
    </row>
    <row r="320" spans="1:15" ht="15" customHeight="1">
      <c r="N320" s="41"/>
      <c r="O320" s="41"/>
    </row>
    <row r="321" spans="1:15" ht="15" customHeight="1">
      <c r="N321" s="41"/>
      <c r="O321" s="41"/>
    </row>
    <row r="322" spans="1:15" s="41" customFormat="1" ht="15" customHeight="1">
      <c r="A322" s="93"/>
      <c r="B322" s="131"/>
      <c r="C322" s="38"/>
      <c r="D322" s="66"/>
      <c r="E322" s="64"/>
      <c r="F322" s="79"/>
      <c r="G322" s="80"/>
      <c r="H322" s="37"/>
      <c r="I322" s="63"/>
      <c r="J322" s="64"/>
      <c r="K322" s="64"/>
      <c r="L322" s="64"/>
      <c r="M322" s="82"/>
    </row>
    <row r="323" spans="1:15" s="41" customFormat="1" ht="15" customHeight="1">
      <c r="A323" s="93"/>
      <c r="B323" s="131"/>
      <c r="C323" s="38"/>
      <c r="D323" s="66"/>
      <c r="E323" s="64"/>
      <c r="F323" s="79"/>
      <c r="G323" s="80"/>
      <c r="H323" s="37"/>
      <c r="I323" s="63"/>
      <c r="J323" s="64"/>
      <c r="K323" s="64"/>
      <c r="L323" s="64"/>
      <c r="M323" s="82"/>
    </row>
    <row r="324" spans="1:15" s="41" customFormat="1" ht="15" customHeight="1">
      <c r="A324" s="93"/>
      <c r="B324" s="131"/>
      <c r="C324" s="38"/>
      <c r="D324" s="66"/>
      <c r="E324" s="64"/>
      <c r="F324" s="79"/>
      <c r="G324" s="80"/>
      <c r="H324" s="37"/>
      <c r="I324" s="63"/>
      <c r="J324" s="64"/>
      <c r="K324" s="64"/>
      <c r="L324" s="64"/>
      <c r="M324" s="82"/>
    </row>
    <row r="325" spans="1:15" s="41" customFormat="1" ht="15" customHeight="1">
      <c r="A325" s="93"/>
      <c r="B325" s="131"/>
      <c r="C325" s="38"/>
      <c r="D325" s="66"/>
      <c r="E325" s="64"/>
      <c r="F325" s="79"/>
      <c r="G325" s="80"/>
      <c r="H325" s="37"/>
      <c r="I325" s="63"/>
      <c r="J325" s="64"/>
      <c r="K325" s="64"/>
      <c r="L325" s="64"/>
      <c r="M325" s="82"/>
    </row>
    <row r="326" spans="1:15" s="41" customFormat="1" ht="15" customHeight="1">
      <c r="A326" s="93"/>
      <c r="B326" s="131"/>
      <c r="C326" s="38"/>
      <c r="D326" s="66"/>
      <c r="E326" s="64"/>
      <c r="F326" s="79"/>
      <c r="G326" s="80"/>
      <c r="H326" s="37"/>
      <c r="I326" s="63"/>
      <c r="J326" s="64"/>
      <c r="K326" s="64"/>
      <c r="L326" s="64"/>
      <c r="M326" s="82"/>
    </row>
    <row r="327" spans="1:15" s="41" customFormat="1" ht="15" customHeight="1">
      <c r="A327" s="93"/>
      <c r="B327" s="131"/>
      <c r="C327" s="38"/>
      <c r="D327" s="66"/>
      <c r="E327" s="64"/>
      <c r="F327" s="79"/>
      <c r="G327" s="80"/>
      <c r="H327" s="37"/>
      <c r="I327" s="63"/>
      <c r="J327" s="64"/>
      <c r="K327" s="64"/>
      <c r="L327" s="64"/>
      <c r="M327" s="82"/>
    </row>
    <row r="328" spans="1:15" s="41" customFormat="1" ht="15" customHeight="1">
      <c r="A328" s="93"/>
      <c r="B328" s="131"/>
      <c r="C328" s="38"/>
      <c r="D328" s="66"/>
      <c r="E328" s="64"/>
      <c r="F328" s="79"/>
      <c r="G328" s="80"/>
      <c r="H328" s="37"/>
      <c r="I328" s="63"/>
      <c r="J328" s="64"/>
      <c r="K328" s="64"/>
      <c r="L328" s="64"/>
      <c r="M328" s="82"/>
    </row>
    <row r="329" spans="1:15" s="41" customFormat="1" ht="15" customHeight="1">
      <c r="A329" s="93"/>
      <c r="B329" s="131"/>
      <c r="C329" s="38"/>
      <c r="D329" s="66"/>
      <c r="E329" s="64"/>
      <c r="F329" s="79"/>
      <c r="G329" s="80"/>
      <c r="H329" s="37"/>
      <c r="I329" s="63"/>
      <c r="J329" s="64"/>
      <c r="K329" s="64"/>
      <c r="L329" s="64"/>
      <c r="M329" s="82"/>
    </row>
    <row r="330" spans="1:15" s="41" customFormat="1" ht="15" customHeight="1">
      <c r="A330" s="93"/>
      <c r="B330" s="131"/>
      <c r="C330" s="38"/>
      <c r="D330" s="66"/>
      <c r="E330" s="64"/>
      <c r="F330" s="79"/>
      <c r="G330" s="80"/>
      <c r="H330" s="37"/>
      <c r="I330" s="63"/>
      <c r="J330" s="64"/>
      <c r="K330" s="64"/>
      <c r="L330" s="64"/>
      <c r="M330" s="82"/>
    </row>
    <row r="331" spans="1:15" s="41" customFormat="1" ht="15" customHeight="1">
      <c r="A331" s="93"/>
      <c r="B331" s="131"/>
      <c r="C331" s="38"/>
      <c r="D331" s="66"/>
      <c r="E331" s="64"/>
      <c r="F331" s="79"/>
      <c r="G331" s="80"/>
      <c r="H331" s="37"/>
      <c r="I331" s="63"/>
      <c r="J331" s="64"/>
      <c r="K331" s="64"/>
      <c r="L331" s="64"/>
      <c r="M331" s="82"/>
    </row>
    <row r="332" spans="1:15" s="41" customFormat="1" ht="15" customHeight="1">
      <c r="A332" s="93"/>
      <c r="B332" s="131"/>
      <c r="C332" s="38"/>
      <c r="D332" s="66"/>
      <c r="E332" s="64"/>
      <c r="F332" s="79"/>
      <c r="G332" s="80"/>
      <c r="H332" s="37"/>
      <c r="I332" s="63"/>
      <c r="J332" s="64"/>
      <c r="K332" s="64"/>
      <c r="L332" s="64"/>
      <c r="M332" s="82"/>
      <c r="N332" s="37"/>
      <c r="O332" s="37"/>
    </row>
    <row r="333" spans="1:15" s="41" customFormat="1" ht="15" customHeight="1">
      <c r="A333" s="93"/>
      <c r="B333" s="131"/>
      <c r="C333" s="38"/>
      <c r="D333" s="66"/>
      <c r="E333" s="64"/>
      <c r="F333" s="79"/>
      <c r="G333" s="80"/>
      <c r="H333" s="37"/>
      <c r="I333" s="63"/>
      <c r="J333" s="64"/>
      <c r="K333" s="64"/>
      <c r="L333" s="64"/>
      <c r="M333" s="82"/>
      <c r="N333" s="37"/>
      <c r="O333" s="37"/>
    </row>
    <row r="334" spans="1:15" ht="15" customHeight="1">
      <c r="N334" s="41"/>
      <c r="O334" s="41"/>
    </row>
    <row r="335" spans="1:15" ht="15" customHeight="1">
      <c r="N335" s="41"/>
      <c r="O335" s="41"/>
    </row>
    <row r="336" spans="1:15" s="41" customFormat="1" ht="15" customHeight="1">
      <c r="A336" s="93"/>
      <c r="B336" s="131"/>
      <c r="C336" s="38"/>
      <c r="D336" s="66"/>
      <c r="E336" s="64"/>
      <c r="F336" s="79"/>
      <c r="G336" s="80"/>
      <c r="H336" s="37"/>
      <c r="I336" s="63"/>
      <c r="J336" s="64"/>
      <c r="K336" s="64"/>
      <c r="L336" s="64"/>
      <c r="M336" s="82"/>
    </row>
    <row r="337" spans="1:15" s="41" customFormat="1" ht="15" customHeight="1">
      <c r="A337" s="93"/>
      <c r="B337" s="131"/>
      <c r="C337" s="38"/>
      <c r="D337" s="66"/>
      <c r="E337" s="64"/>
      <c r="F337" s="79"/>
      <c r="G337" s="80"/>
      <c r="H337" s="37"/>
      <c r="I337" s="63"/>
      <c r="J337" s="64"/>
      <c r="K337" s="64"/>
      <c r="L337" s="64"/>
      <c r="M337" s="82"/>
    </row>
    <row r="338" spans="1:15" s="41" customFormat="1" ht="15" customHeight="1">
      <c r="A338" s="93"/>
      <c r="B338" s="131"/>
      <c r="C338" s="38"/>
      <c r="D338" s="66"/>
      <c r="E338" s="64"/>
      <c r="F338" s="79"/>
      <c r="G338" s="80"/>
      <c r="H338" s="37"/>
      <c r="I338" s="63"/>
      <c r="J338" s="64"/>
      <c r="K338" s="64"/>
      <c r="L338" s="64"/>
      <c r="M338" s="82"/>
    </row>
    <row r="339" spans="1:15" s="41" customFormat="1" ht="15" customHeight="1">
      <c r="A339" s="93"/>
      <c r="B339" s="131"/>
      <c r="C339" s="38"/>
      <c r="D339" s="66"/>
      <c r="E339" s="64"/>
      <c r="F339" s="79"/>
      <c r="G339" s="80"/>
      <c r="H339" s="37"/>
      <c r="I339" s="63"/>
      <c r="J339" s="64"/>
      <c r="K339" s="64"/>
      <c r="L339" s="64"/>
      <c r="M339" s="82"/>
      <c r="N339" s="37"/>
      <c r="O339" s="37"/>
    </row>
    <row r="340" spans="1:15" s="41" customFormat="1" ht="15" customHeight="1">
      <c r="A340" s="93"/>
      <c r="B340" s="131"/>
      <c r="C340" s="38"/>
      <c r="D340" s="66"/>
      <c r="E340" s="64"/>
      <c r="F340" s="79"/>
      <c r="G340" s="80"/>
      <c r="H340" s="37"/>
      <c r="I340" s="63"/>
      <c r="J340" s="64"/>
      <c r="K340" s="64"/>
      <c r="L340" s="64"/>
      <c r="M340" s="82"/>
      <c r="N340" s="37"/>
      <c r="O340" s="37"/>
    </row>
    <row r="341" spans="1:15" s="41" customFormat="1" ht="15" customHeight="1">
      <c r="A341" s="93"/>
      <c r="B341" s="131"/>
      <c r="C341" s="38"/>
      <c r="D341" s="66"/>
      <c r="E341" s="64"/>
      <c r="F341" s="79"/>
      <c r="G341" s="80"/>
      <c r="H341" s="37"/>
      <c r="I341" s="63"/>
      <c r="J341" s="64"/>
      <c r="K341" s="64"/>
      <c r="L341" s="64"/>
      <c r="M341" s="82"/>
    </row>
    <row r="342" spans="1:15" s="41" customFormat="1" ht="15" customHeight="1">
      <c r="A342" s="93"/>
      <c r="B342" s="131"/>
      <c r="C342" s="38"/>
      <c r="D342" s="66"/>
      <c r="E342" s="64"/>
      <c r="F342" s="79"/>
      <c r="G342" s="80"/>
      <c r="H342" s="37"/>
      <c r="I342" s="63"/>
      <c r="J342" s="64"/>
      <c r="K342" s="64"/>
      <c r="L342" s="64"/>
      <c r="M342" s="82"/>
    </row>
    <row r="343" spans="1:15" s="41" customFormat="1" ht="15" customHeight="1">
      <c r="A343" s="93"/>
      <c r="B343" s="131"/>
      <c r="C343" s="38"/>
      <c r="D343" s="66"/>
      <c r="E343" s="64"/>
      <c r="F343" s="79"/>
      <c r="G343" s="80"/>
      <c r="H343" s="37"/>
      <c r="I343" s="63"/>
      <c r="J343" s="64"/>
      <c r="K343" s="64"/>
      <c r="L343" s="64"/>
      <c r="M343" s="82"/>
    </row>
    <row r="344" spans="1:15" s="41" customFormat="1" ht="15" customHeight="1">
      <c r="A344" s="93"/>
      <c r="B344" s="131"/>
      <c r="C344" s="38"/>
      <c r="D344" s="66"/>
      <c r="E344" s="64"/>
      <c r="F344" s="79"/>
      <c r="G344" s="80"/>
      <c r="H344" s="37"/>
      <c r="I344" s="63"/>
      <c r="J344" s="64"/>
      <c r="K344" s="64"/>
      <c r="L344" s="64"/>
      <c r="M344" s="82"/>
    </row>
    <row r="345" spans="1:15" s="41" customFormat="1" ht="15" customHeight="1">
      <c r="A345" s="93"/>
      <c r="B345" s="131"/>
      <c r="C345" s="38"/>
      <c r="D345" s="66"/>
      <c r="E345" s="64"/>
      <c r="F345" s="79"/>
      <c r="G345" s="80"/>
      <c r="H345" s="37"/>
      <c r="I345" s="63"/>
      <c r="J345" s="64"/>
      <c r="K345" s="64"/>
      <c r="L345" s="64"/>
      <c r="M345" s="82"/>
    </row>
    <row r="346" spans="1:15" s="41" customFormat="1" ht="15" customHeight="1">
      <c r="A346" s="93"/>
      <c r="B346" s="131"/>
      <c r="C346" s="38"/>
      <c r="D346" s="66"/>
      <c r="E346" s="64"/>
      <c r="F346" s="79"/>
      <c r="G346" s="80"/>
      <c r="H346" s="37"/>
      <c r="I346" s="63"/>
      <c r="J346" s="64"/>
      <c r="K346" s="64"/>
      <c r="L346" s="64"/>
      <c r="M346" s="82"/>
    </row>
    <row r="347" spans="1:15" s="41" customFormat="1" ht="15" customHeight="1">
      <c r="A347" s="93"/>
      <c r="B347" s="131"/>
      <c r="C347" s="38"/>
      <c r="D347" s="66"/>
      <c r="E347" s="64"/>
      <c r="F347" s="79"/>
      <c r="G347" s="80"/>
      <c r="H347" s="37"/>
      <c r="I347" s="63"/>
      <c r="J347" s="64"/>
      <c r="K347" s="64"/>
      <c r="L347" s="64"/>
      <c r="M347" s="82"/>
    </row>
    <row r="348" spans="1:15" ht="15" customHeight="1">
      <c r="N348" s="41"/>
      <c r="O348" s="41"/>
    </row>
    <row r="349" spans="1:15" ht="15" customHeight="1">
      <c r="N349" s="41"/>
      <c r="O349" s="41"/>
    </row>
    <row r="350" spans="1:15" s="41" customFormat="1" ht="15" customHeight="1">
      <c r="A350" s="93"/>
      <c r="B350" s="131"/>
      <c r="C350" s="38"/>
      <c r="D350" s="66"/>
      <c r="E350" s="64"/>
      <c r="F350" s="79"/>
      <c r="G350" s="80"/>
      <c r="H350" s="37"/>
      <c r="I350" s="63"/>
      <c r="J350" s="64"/>
      <c r="K350" s="64"/>
      <c r="L350" s="64"/>
      <c r="M350" s="82"/>
    </row>
    <row r="351" spans="1:15" s="41" customFormat="1" ht="15" customHeight="1">
      <c r="A351" s="93"/>
      <c r="B351" s="131"/>
      <c r="C351" s="38"/>
      <c r="D351" s="66"/>
      <c r="E351" s="64"/>
      <c r="F351" s="79"/>
      <c r="G351" s="80"/>
      <c r="H351" s="37"/>
      <c r="I351" s="63"/>
      <c r="J351" s="64"/>
      <c r="K351" s="64"/>
      <c r="L351" s="64"/>
      <c r="M351" s="82"/>
    </row>
    <row r="352" spans="1:15" s="41" customFormat="1" ht="15" customHeight="1">
      <c r="A352" s="93"/>
      <c r="B352" s="131"/>
      <c r="C352" s="38"/>
      <c r="D352" s="66"/>
      <c r="E352" s="64"/>
      <c r="F352" s="79"/>
      <c r="G352" s="80"/>
      <c r="H352" s="37"/>
      <c r="I352" s="63"/>
      <c r="J352" s="64"/>
      <c r="K352" s="64"/>
      <c r="L352" s="64"/>
      <c r="M352" s="82"/>
    </row>
    <row r="353" spans="1:15" s="41" customFormat="1" ht="15" customHeight="1">
      <c r="A353" s="93"/>
      <c r="B353" s="131"/>
      <c r="C353" s="38"/>
      <c r="D353" s="66"/>
      <c r="E353" s="64"/>
      <c r="F353" s="79"/>
      <c r="G353" s="80"/>
      <c r="H353" s="37"/>
      <c r="I353" s="63"/>
      <c r="J353" s="64"/>
      <c r="K353" s="64"/>
      <c r="L353" s="64"/>
      <c r="M353" s="82"/>
      <c r="N353" s="37"/>
      <c r="O353" s="37"/>
    </row>
    <row r="354" spans="1:15" s="41" customFormat="1" ht="15" customHeight="1">
      <c r="A354" s="93"/>
      <c r="B354" s="131"/>
      <c r="C354" s="38"/>
      <c r="D354" s="66"/>
      <c r="E354" s="64"/>
      <c r="F354" s="79"/>
      <c r="G354" s="80"/>
      <c r="H354" s="37"/>
      <c r="I354" s="63"/>
      <c r="J354" s="64"/>
      <c r="K354" s="64"/>
      <c r="L354" s="64"/>
      <c r="M354" s="82"/>
      <c r="N354" s="37"/>
      <c r="O354" s="37"/>
    </row>
    <row r="355" spans="1:15" s="41" customFormat="1" ht="15" customHeight="1">
      <c r="A355" s="93"/>
      <c r="B355" s="131"/>
      <c r="C355" s="38"/>
      <c r="D355" s="66"/>
      <c r="E355" s="64"/>
      <c r="F355" s="79"/>
      <c r="G355" s="80"/>
      <c r="H355" s="37"/>
      <c r="I355" s="63"/>
      <c r="J355" s="64"/>
      <c r="K355" s="64"/>
      <c r="L355" s="64"/>
      <c r="M355" s="82"/>
    </row>
    <row r="356" spans="1:15" s="41" customFormat="1" ht="15" customHeight="1">
      <c r="A356" s="93"/>
      <c r="B356" s="131"/>
      <c r="C356" s="38"/>
      <c r="D356" s="66"/>
      <c r="E356" s="64"/>
      <c r="F356" s="79"/>
      <c r="G356" s="80"/>
      <c r="H356" s="37"/>
      <c r="I356" s="63"/>
      <c r="J356" s="64"/>
      <c r="K356" s="64"/>
      <c r="L356" s="64"/>
      <c r="M356" s="82"/>
    </row>
    <row r="357" spans="1:15" s="41" customFormat="1" ht="15" customHeight="1">
      <c r="A357" s="93"/>
      <c r="B357" s="131"/>
      <c r="C357" s="38"/>
      <c r="D357" s="66"/>
      <c r="E357" s="64"/>
      <c r="F357" s="79"/>
      <c r="G357" s="80"/>
      <c r="H357" s="37"/>
      <c r="I357" s="63"/>
      <c r="J357" s="64"/>
      <c r="K357" s="64"/>
      <c r="L357" s="64"/>
      <c r="M357" s="82"/>
    </row>
    <row r="358" spans="1:15" s="41" customFormat="1" ht="15" customHeight="1">
      <c r="A358" s="93"/>
      <c r="B358" s="131"/>
      <c r="C358" s="38"/>
      <c r="D358" s="66"/>
      <c r="E358" s="64"/>
      <c r="F358" s="79"/>
      <c r="G358" s="80"/>
      <c r="H358" s="37"/>
      <c r="I358" s="63"/>
      <c r="J358" s="64"/>
      <c r="K358" s="64"/>
      <c r="L358" s="64"/>
      <c r="M358" s="82"/>
    </row>
    <row r="359" spans="1:15" s="41" customFormat="1" ht="15" customHeight="1">
      <c r="A359" s="93"/>
      <c r="B359" s="131"/>
      <c r="C359" s="38"/>
      <c r="D359" s="66"/>
      <c r="E359" s="64"/>
      <c r="F359" s="79"/>
      <c r="G359" s="80"/>
      <c r="H359" s="37"/>
      <c r="I359" s="63"/>
      <c r="J359" s="64"/>
      <c r="K359" s="64"/>
      <c r="L359" s="64"/>
      <c r="M359" s="82"/>
    </row>
    <row r="360" spans="1:15" s="41" customFormat="1" ht="15" customHeight="1">
      <c r="A360" s="93"/>
      <c r="B360" s="131"/>
      <c r="C360" s="38"/>
      <c r="D360" s="66"/>
      <c r="E360" s="64"/>
      <c r="F360" s="79"/>
      <c r="G360" s="80"/>
      <c r="H360" s="37"/>
      <c r="I360" s="63"/>
      <c r="J360" s="64"/>
      <c r="K360" s="64"/>
      <c r="L360" s="64"/>
      <c r="M360" s="82"/>
    </row>
    <row r="361" spans="1:15" s="41" customFormat="1" ht="15" customHeight="1">
      <c r="A361" s="93"/>
      <c r="B361" s="131"/>
      <c r="C361" s="38"/>
      <c r="D361" s="66"/>
      <c r="E361" s="64"/>
      <c r="F361" s="79"/>
      <c r="G361" s="80"/>
      <c r="H361" s="37"/>
      <c r="I361" s="63"/>
      <c r="J361" s="64"/>
      <c r="K361" s="64"/>
      <c r="L361" s="64"/>
      <c r="M361" s="82"/>
    </row>
    <row r="362" spans="1:15" s="41" customFormat="1" ht="15" customHeight="1">
      <c r="A362" s="93"/>
      <c r="B362" s="131"/>
      <c r="C362" s="38"/>
      <c r="D362" s="66"/>
      <c r="E362" s="64"/>
      <c r="F362" s="79"/>
      <c r="G362" s="80"/>
      <c r="H362" s="37"/>
      <c r="I362" s="63"/>
      <c r="J362" s="64"/>
      <c r="K362" s="64"/>
      <c r="L362" s="64"/>
      <c r="M362" s="82"/>
    </row>
    <row r="363" spans="1:15" s="41" customFormat="1" ht="15" customHeight="1">
      <c r="A363" s="93"/>
      <c r="B363" s="131"/>
      <c r="C363" s="38"/>
      <c r="D363" s="66"/>
      <c r="E363" s="64"/>
      <c r="F363" s="79"/>
      <c r="G363" s="80"/>
      <c r="H363" s="37"/>
      <c r="I363" s="63"/>
      <c r="J363" s="64"/>
      <c r="K363" s="64"/>
      <c r="L363" s="64"/>
      <c r="M363" s="82"/>
    </row>
    <row r="364" spans="1:15" s="41" customFormat="1" ht="15" customHeight="1">
      <c r="A364" s="93"/>
      <c r="B364" s="131"/>
      <c r="C364" s="38"/>
      <c r="D364" s="66"/>
      <c r="E364" s="64"/>
      <c r="F364" s="79"/>
      <c r="G364" s="80"/>
      <c r="H364" s="37"/>
      <c r="I364" s="63"/>
      <c r="J364" s="64"/>
      <c r="K364" s="64"/>
      <c r="L364" s="64"/>
      <c r="M364" s="82"/>
    </row>
    <row r="365" spans="1:15" s="41" customFormat="1" ht="15" customHeight="1">
      <c r="A365" s="93"/>
      <c r="B365" s="131"/>
      <c r="C365" s="38"/>
      <c r="D365" s="66"/>
      <c r="E365" s="64"/>
      <c r="F365" s="79"/>
      <c r="G365" s="80"/>
      <c r="H365" s="37"/>
      <c r="I365" s="63"/>
      <c r="J365" s="64"/>
      <c r="K365" s="64"/>
      <c r="L365" s="64"/>
      <c r="M365" s="82"/>
    </row>
    <row r="366" spans="1:15" s="41" customFormat="1" ht="15" customHeight="1">
      <c r="A366" s="93"/>
      <c r="B366" s="131"/>
      <c r="C366" s="38"/>
      <c r="D366" s="66"/>
      <c r="E366" s="64"/>
      <c r="F366" s="79"/>
      <c r="G366" s="80"/>
      <c r="H366" s="37"/>
      <c r="I366" s="63"/>
      <c r="J366" s="64"/>
      <c r="K366" s="64"/>
      <c r="L366" s="64"/>
      <c r="M366" s="82"/>
    </row>
    <row r="367" spans="1:15" s="41" customFormat="1" ht="15" customHeight="1">
      <c r="A367" s="93"/>
      <c r="B367" s="131"/>
      <c r="C367" s="38"/>
      <c r="D367" s="66"/>
      <c r="E367" s="64"/>
      <c r="F367" s="79"/>
      <c r="G367" s="80"/>
      <c r="H367" s="37"/>
      <c r="I367" s="63"/>
      <c r="J367" s="64"/>
      <c r="K367" s="64"/>
      <c r="L367" s="64"/>
      <c r="M367" s="82"/>
      <c r="N367" s="37"/>
      <c r="O367" s="37"/>
    </row>
    <row r="368" spans="1:15" s="41" customFormat="1" ht="15" customHeight="1">
      <c r="A368" s="93"/>
      <c r="B368" s="131"/>
      <c r="C368" s="38"/>
      <c r="D368" s="66"/>
      <c r="E368" s="64"/>
      <c r="F368" s="79"/>
      <c r="G368" s="80"/>
      <c r="H368" s="37"/>
      <c r="I368" s="63"/>
      <c r="J368" s="64"/>
      <c r="K368" s="64"/>
      <c r="L368" s="64"/>
      <c r="M368" s="82"/>
      <c r="N368" s="37"/>
      <c r="O368" s="37"/>
    </row>
    <row r="369" spans="1:13" s="41" customFormat="1" ht="15" customHeight="1">
      <c r="A369" s="93"/>
      <c r="B369" s="131"/>
      <c r="C369" s="38"/>
      <c r="D369" s="66"/>
      <c r="E369" s="64"/>
      <c r="F369" s="79"/>
      <c r="G369" s="80"/>
      <c r="H369" s="37"/>
      <c r="I369" s="63"/>
      <c r="J369" s="64"/>
      <c r="K369" s="64"/>
      <c r="L369" s="64"/>
      <c r="M369" s="82"/>
    </row>
    <row r="370" spans="1:13" s="41" customFormat="1" ht="15" customHeight="1">
      <c r="A370" s="93"/>
      <c r="B370" s="131"/>
      <c r="C370" s="38"/>
      <c r="D370" s="66"/>
      <c r="E370" s="64"/>
      <c r="F370" s="79"/>
      <c r="G370" s="80"/>
      <c r="H370" s="37"/>
      <c r="I370" s="63"/>
      <c r="J370" s="64"/>
      <c r="K370" s="64"/>
      <c r="L370" s="64"/>
      <c r="M370" s="82"/>
    </row>
    <row r="371" spans="1:13" s="41" customFormat="1" ht="15" customHeight="1">
      <c r="A371" s="93"/>
      <c r="B371" s="131"/>
      <c r="C371" s="38"/>
      <c r="D371" s="66"/>
      <c r="E371" s="64"/>
      <c r="F371" s="79"/>
      <c r="G371" s="80"/>
      <c r="H371" s="37"/>
      <c r="I371" s="63"/>
      <c r="J371" s="64"/>
      <c r="K371" s="64"/>
      <c r="L371" s="64"/>
      <c r="M371" s="82"/>
    </row>
    <row r="372" spans="1:13" s="41" customFormat="1" ht="15" customHeight="1">
      <c r="A372" s="93"/>
      <c r="B372" s="131"/>
      <c r="C372" s="38"/>
      <c r="D372" s="66"/>
      <c r="E372" s="64"/>
      <c r="F372" s="79"/>
      <c r="G372" s="80"/>
      <c r="H372" s="37"/>
      <c r="I372" s="63"/>
      <c r="J372" s="64"/>
      <c r="K372" s="64"/>
      <c r="L372" s="64"/>
      <c r="M372" s="82"/>
    </row>
    <row r="373" spans="1:13" s="41" customFormat="1" ht="15" customHeight="1">
      <c r="A373" s="93"/>
      <c r="B373" s="131"/>
      <c r="C373" s="38"/>
      <c r="D373" s="66"/>
      <c r="E373" s="64"/>
      <c r="F373" s="79"/>
      <c r="G373" s="80"/>
      <c r="H373" s="37"/>
      <c r="I373" s="63"/>
      <c r="J373" s="64"/>
      <c r="K373" s="64"/>
      <c r="L373" s="64"/>
      <c r="M373" s="82"/>
    </row>
    <row r="374" spans="1:13" s="41" customFormat="1" ht="15" customHeight="1">
      <c r="A374" s="93"/>
      <c r="B374" s="131"/>
      <c r="C374" s="38"/>
      <c r="D374" s="66"/>
      <c r="E374" s="64"/>
      <c r="F374" s="79"/>
      <c r="G374" s="80"/>
      <c r="H374" s="37"/>
      <c r="I374" s="63"/>
      <c r="J374" s="64"/>
      <c r="K374" s="64"/>
      <c r="L374" s="64"/>
      <c r="M374" s="82"/>
    </row>
    <row r="375" spans="1:13" s="41" customFormat="1" ht="15" customHeight="1">
      <c r="A375" s="93"/>
      <c r="B375" s="131"/>
      <c r="C375" s="38"/>
      <c r="D375" s="66"/>
      <c r="E375" s="64"/>
      <c r="F375" s="79"/>
      <c r="G375" s="80"/>
      <c r="H375" s="37"/>
      <c r="I375" s="63"/>
      <c r="J375" s="64"/>
      <c r="K375" s="64"/>
      <c r="L375" s="64"/>
      <c r="M375" s="82"/>
    </row>
    <row r="376" spans="1:13" s="41" customFormat="1" ht="15" customHeight="1">
      <c r="A376" s="93"/>
      <c r="B376" s="131"/>
      <c r="C376" s="38"/>
      <c r="D376" s="66"/>
      <c r="E376" s="64"/>
      <c r="F376" s="79"/>
      <c r="G376" s="80"/>
      <c r="H376" s="37"/>
      <c r="I376" s="63"/>
      <c r="J376" s="64"/>
      <c r="K376" s="64"/>
      <c r="L376" s="64"/>
      <c r="M376" s="82"/>
    </row>
    <row r="377" spans="1:13" s="41" customFormat="1" ht="15" customHeight="1">
      <c r="A377" s="93"/>
      <c r="B377" s="131"/>
      <c r="C377" s="38"/>
      <c r="D377" s="66"/>
      <c r="E377" s="64"/>
      <c r="F377" s="79"/>
      <c r="G377" s="80"/>
      <c r="H377" s="37"/>
      <c r="I377" s="63"/>
      <c r="J377" s="64"/>
      <c r="K377" s="64"/>
      <c r="L377" s="64"/>
      <c r="M377" s="82"/>
    </row>
    <row r="378" spans="1:13" s="41" customFormat="1" ht="15" customHeight="1">
      <c r="A378" s="93"/>
      <c r="B378" s="131"/>
      <c r="C378" s="38"/>
      <c r="D378" s="66"/>
      <c r="E378" s="64"/>
      <c r="F378" s="79"/>
      <c r="G378" s="80"/>
      <c r="H378" s="37"/>
      <c r="I378" s="63"/>
      <c r="J378" s="64"/>
      <c r="K378" s="64"/>
      <c r="L378" s="64"/>
      <c r="M378" s="82"/>
    </row>
    <row r="379" spans="1:13" s="41" customFormat="1" ht="15" customHeight="1">
      <c r="A379" s="93"/>
      <c r="B379" s="131"/>
      <c r="C379" s="38"/>
      <c r="D379" s="66"/>
      <c r="E379" s="64"/>
      <c r="F379" s="79"/>
      <c r="G379" s="80"/>
      <c r="H379" s="37"/>
      <c r="I379" s="63"/>
      <c r="J379" s="64"/>
      <c r="K379" s="64"/>
      <c r="L379" s="64"/>
      <c r="M379" s="82"/>
    </row>
    <row r="380" spans="1:13" s="41" customFormat="1" ht="15" customHeight="1">
      <c r="A380" s="93"/>
      <c r="B380" s="131"/>
      <c r="C380" s="38"/>
      <c r="D380" s="66"/>
      <c r="E380" s="64"/>
      <c r="F380" s="79"/>
      <c r="G380" s="80"/>
      <c r="H380" s="37"/>
      <c r="I380" s="63"/>
      <c r="J380" s="64"/>
      <c r="K380" s="64"/>
      <c r="L380" s="64"/>
      <c r="M380" s="82"/>
    </row>
    <row r="381" spans="1:13" s="41" customFormat="1" ht="15" customHeight="1">
      <c r="A381" s="93"/>
      <c r="B381" s="131"/>
      <c r="C381" s="38"/>
      <c r="D381" s="66"/>
      <c r="E381" s="64"/>
      <c r="F381" s="79"/>
      <c r="G381" s="80"/>
      <c r="H381" s="37"/>
      <c r="I381" s="63"/>
      <c r="J381" s="64"/>
      <c r="K381" s="64"/>
      <c r="L381" s="64"/>
      <c r="M381" s="82"/>
    </row>
    <row r="382" spans="1:13" s="41" customFormat="1" ht="15" customHeight="1">
      <c r="A382" s="93"/>
      <c r="B382" s="131"/>
      <c r="C382" s="38"/>
      <c r="D382" s="66"/>
      <c r="E382" s="64"/>
      <c r="F382" s="79"/>
      <c r="G382" s="80"/>
      <c r="H382" s="37"/>
      <c r="I382" s="63"/>
      <c r="J382" s="64"/>
      <c r="K382" s="64"/>
      <c r="L382" s="64"/>
      <c r="M382" s="82"/>
    </row>
    <row r="383" spans="1:13" s="41" customFormat="1" ht="15" customHeight="1">
      <c r="A383" s="93"/>
      <c r="B383" s="131"/>
      <c r="C383" s="38"/>
      <c r="D383" s="66"/>
      <c r="E383" s="64"/>
      <c r="F383" s="79"/>
      <c r="G383" s="80"/>
      <c r="H383" s="37"/>
      <c r="I383" s="63"/>
      <c r="J383" s="64"/>
      <c r="K383" s="64"/>
      <c r="L383" s="64"/>
      <c r="M383" s="82"/>
    </row>
    <row r="384" spans="1:13" s="41" customFormat="1" ht="15" customHeight="1">
      <c r="A384" s="93"/>
      <c r="B384" s="131"/>
      <c r="C384" s="38"/>
      <c r="D384" s="66"/>
      <c r="E384" s="64"/>
      <c r="F384" s="79"/>
      <c r="G384" s="80"/>
      <c r="H384" s="37"/>
      <c r="I384" s="63"/>
      <c r="J384" s="64"/>
      <c r="K384" s="64"/>
      <c r="L384" s="64"/>
      <c r="M384" s="82"/>
    </row>
    <row r="385" spans="1:13" s="41" customFormat="1" ht="15" customHeight="1">
      <c r="A385" s="93"/>
      <c r="B385" s="131"/>
      <c r="C385" s="38"/>
      <c r="D385" s="66"/>
      <c r="E385" s="64"/>
      <c r="F385" s="79"/>
      <c r="G385" s="80"/>
      <c r="H385" s="37"/>
      <c r="I385" s="63"/>
      <c r="J385" s="64"/>
      <c r="K385" s="64"/>
      <c r="L385" s="64"/>
      <c r="M385" s="82"/>
    </row>
    <row r="386" spans="1:13" s="41" customFormat="1" ht="15" customHeight="1">
      <c r="A386" s="93"/>
      <c r="B386" s="131"/>
      <c r="C386" s="38"/>
      <c r="D386" s="66"/>
      <c r="E386" s="64"/>
      <c r="F386" s="79"/>
      <c r="G386" s="80"/>
      <c r="H386" s="37"/>
      <c r="I386" s="63"/>
      <c r="J386" s="64"/>
      <c r="K386" s="64"/>
      <c r="L386" s="64"/>
      <c r="M386" s="82"/>
    </row>
    <row r="387" spans="1:13" s="41" customFormat="1" ht="15" customHeight="1">
      <c r="A387" s="93"/>
      <c r="B387" s="131"/>
      <c r="C387" s="38"/>
      <c r="D387" s="66"/>
      <c r="E387" s="64"/>
      <c r="F387" s="79"/>
      <c r="G387" s="80"/>
      <c r="H387" s="37"/>
      <c r="I387" s="63"/>
      <c r="J387" s="64"/>
      <c r="K387" s="64"/>
      <c r="L387" s="64"/>
      <c r="M387" s="82"/>
    </row>
    <row r="388" spans="1:13" s="41" customFormat="1" ht="15" customHeight="1">
      <c r="A388" s="93"/>
      <c r="B388" s="131"/>
      <c r="C388" s="38"/>
      <c r="D388" s="66"/>
      <c r="E388" s="64"/>
      <c r="F388" s="79"/>
      <c r="G388" s="80"/>
      <c r="H388" s="37"/>
      <c r="I388" s="63"/>
      <c r="J388" s="64"/>
      <c r="K388" s="64"/>
      <c r="L388" s="64"/>
      <c r="M388" s="82"/>
    </row>
    <row r="389" spans="1:13" s="41" customFormat="1" ht="15" customHeight="1">
      <c r="A389" s="93"/>
      <c r="B389" s="131"/>
      <c r="C389" s="38"/>
      <c r="D389" s="66"/>
      <c r="E389" s="64"/>
      <c r="F389" s="79"/>
      <c r="G389" s="80"/>
      <c r="H389" s="37"/>
      <c r="I389" s="63"/>
      <c r="J389" s="64"/>
      <c r="K389" s="64"/>
      <c r="L389" s="64"/>
      <c r="M389" s="82"/>
    </row>
    <row r="390" spans="1:13" s="41" customFormat="1" ht="15" customHeight="1">
      <c r="A390" s="93"/>
      <c r="B390" s="131"/>
      <c r="C390" s="38"/>
      <c r="D390" s="66"/>
      <c r="E390" s="64"/>
      <c r="F390" s="79"/>
      <c r="G390" s="80"/>
      <c r="H390" s="37"/>
      <c r="I390" s="63"/>
      <c r="J390" s="64"/>
      <c r="K390" s="64"/>
      <c r="L390" s="64"/>
      <c r="M390" s="82"/>
    </row>
    <row r="391" spans="1:13" s="41" customFormat="1" ht="15" customHeight="1">
      <c r="A391" s="93"/>
      <c r="B391" s="131"/>
      <c r="C391" s="38"/>
      <c r="D391" s="66"/>
      <c r="E391" s="64"/>
      <c r="F391" s="79"/>
      <c r="G391" s="80"/>
      <c r="H391" s="37"/>
      <c r="I391" s="63"/>
      <c r="J391" s="64"/>
      <c r="K391" s="64"/>
      <c r="L391" s="64"/>
      <c r="M391" s="82"/>
    </row>
    <row r="392" spans="1:13" s="41" customFormat="1" ht="15" customHeight="1">
      <c r="A392" s="93"/>
      <c r="B392" s="131"/>
      <c r="C392" s="38"/>
      <c r="D392" s="66"/>
      <c r="E392" s="64"/>
      <c r="F392" s="79"/>
      <c r="G392" s="80"/>
      <c r="H392" s="37"/>
      <c r="I392" s="63"/>
      <c r="J392" s="64"/>
      <c r="K392" s="64"/>
      <c r="L392" s="64"/>
      <c r="M392" s="82"/>
    </row>
    <row r="393" spans="1:13" s="41" customFormat="1" ht="15" customHeight="1">
      <c r="A393" s="93"/>
      <c r="B393" s="131"/>
      <c r="C393" s="38"/>
      <c r="D393" s="66"/>
      <c r="E393" s="64"/>
      <c r="F393" s="79"/>
      <c r="G393" s="80"/>
      <c r="H393" s="37"/>
      <c r="I393" s="63"/>
      <c r="J393" s="64"/>
      <c r="K393" s="64"/>
      <c r="L393" s="64"/>
      <c r="M393" s="82"/>
    </row>
    <row r="394" spans="1:13" s="41" customFormat="1" ht="15" customHeight="1">
      <c r="A394" s="93"/>
      <c r="B394" s="131"/>
      <c r="C394" s="38"/>
      <c r="D394" s="66"/>
      <c r="E394" s="64"/>
      <c r="F394" s="79"/>
      <c r="G394" s="80"/>
      <c r="H394" s="37"/>
      <c r="I394" s="63"/>
      <c r="J394" s="64"/>
      <c r="K394" s="64"/>
      <c r="L394" s="64"/>
      <c r="M394" s="82"/>
    </row>
    <row r="395" spans="1:13" s="41" customFormat="1" ht="15" customHeight="1">
      <c r="A395" s="93"/>
      <c r="B395" s="131"/>
      <c r="C395" s="38"/>
      <c r="D395" s="66"/>
      <c r="E395" s="64"/>
      <c r="F395" s="79"/>
      <c r="G395" s="80"/>
      <c r="H395" s="37"/>
      <c r="I395" s="63"/>
      <c r="J395" s="64"/>
      <c r="K395" s="64"/>
      <c r="L395" s="64"/>
      <c r="M395" s="82"/>
    </row>
    <row r="396" spans="1:13" s="41" customFormat="1" ht="15" customHeight="1">
      <c r="A396" s="93"/>
      <c r="B396" s="131"/>
      <c r="C396" s="38"/>
      <c r="D396" s="66"/>
      <c r="E396" s="64"/>
      <c r="F396" s="79"/>
      <c r="G396" s="80"/>
      <c r="H396" s="37"/>
      <c r="I396" s="63"/>
      <c r="J396" s="64"/>
      <c r="K396" s="64"/>
      <c r="L396" s="64"/>
      <c r="M396" s="82"/>
    </row>
    <row r="397" spans="1:13" s="41" customFormat="1" ht="15" customHeight="1">
      <c r="A397" s="93"/>
      <c r="B397" s="131"/>
      <c r="C397" s="38"/>
      <c r="D397" s="66"/>
      <c r="E397" s="64"/>
      <c r="F397" s="79"/>
      <c r="G397" s="80"/>
      <c r="H397" s="37"/>
      <c r="I397" s="63"/>
      <c r="J397" s="64"/>
      <c r="K397" s="64"/>
      <c r="L397" s="64"/>
      <c r="M397" s="82"/>
    </row>
    <row r="398" spans="1:13" s="41" customFormat="1" ht="15" customHeight="1">
      <c r="A398" s="93"/>
      <c r="B398" s="131"/>
      <c r="C398" s="38"/>
      <c r="D398" s="66"/>
      <c r="E398" s="64"/>
      <c r="F398" s="79"/>
      <c r="G398" s="80"/>
      <c r="H398" s="37"/>
      <c r="I398" s="63"/>
      <c r="J398" s="64"/>
      <c r="K398" s="64"/>
      <c r="L398" s="64"/>
      <c r="M398" s="82"/>
    </row>
    <row r="399" spans="1:13" s="41" customFormat="1" ht="15" customHeight="1">
      <c r="A399" s="93"/>
      <c r="B399" s="131"/>
      <c r="C399" s="38"/>
      <c r="D399" s="66"/>
      <c r="E399" s="64"/>
      <c r="F399" s="79"/>
      <c r="G399" s="80"/>
      <c r="H399" s="37"/>
      <c r="I399" s="63"/>
      <c r="J399" s="64"/>
      <c r="K399" s="64"/>
      <c r="L399" s="64"/>
      <c r="M399" s="82"/>
    </row>
    <row r="400" spans="1:13" s="41" customFormat="1" ht="15" customHeight="1">
      <c r="A400" s="93"/>
      <c r="B400" s="131"/>
      <c r="C400" s="38"/>
      <c r="D400" s="66"/>
      <c r="E400" s="64"/>
      <c r="F400" s="79"/>
      <c r="G400" s="80"/>
      <c r="H400" s="37"/>
      <c r="I400" s="63"/>
      <c r="J400" s="64"/>
      <c r="K400" s="64"/>
      <c r="L400" s="64"/>
      <c r="M400" s="82"/>
    </row>
    <row r="401" spans="1:15" s="41" customFormat="1" ht="15" customHeight="1">
      <c r="A401" s="93"/>
      <c r="B401" s="131"/>
      <c r="C401" s="38"/>
      <c r="D401" s="66"/>
      <c r="E401" s="64"/>
      <c r="F401" s="79"/>
      <c r="G401" s="80"/>
      <c r="H401" s="37"/>
      <c r="I401" s="63"/>
      <c r="J401" s="64"/>
      <c r="K401" s="64"/>
      <c r="L401" s="64"/>
      <c r="M401" s="82"/>
    </row>
    <row r="402" spans="1:15" s="41" customFormat="1" ht="15" customHeight="1">
      <c r="A402" s="93"/>
      <c r="B402" s="131"/>
      <c r="C402" s="38"/>
      <c r="D402" s="66"/>
      <c r="E402" s="64"/>
      <c r="F402" s="79"/>
      <c r="G402" s="80"/>
      <c r="H402" s="37"/>
      <c r="I402" s="63"/>
      <c r="J402" s="64"/>
      <c r="K402" s="64"/>
      <c r="L402" s="64"/>
      <c r="M402" s="82"/>
    </row>
    <row r="403" spans="1:15" s="41" customFormat="1" ht="15" customHeight="1">
      <c r="A403" s="93"/>
      <c r="B403" s="131"/>
      <c r="C403" s="38"/>
      <c r="D403" s="66"/>
      <c r="E403" s="64"/>
      <c r="F403" s="79"/>
      <c r="G403" s="80"/>
      <c r="H403" s="37"/>
      <c r="I403" s="63"/>
      <c r="J403" s="64"/>
      <c r="K403" s="64"/>
      <c r="L403" s="64"/>
      <c r="M403" s="82"/>
    </row>
    <row r="404" spans="1:15" s="41" customFormat="1" ht="15" customHeight="1">
      <c r="A404" s="93"/>
      <c r="B404" s="131"/>
      <c r="C404" s="38"/>
      <c r="D404" s="66"/>
      <c r="E404" s="64"/>
      <c r="F404" s="79"/>
      <c r="G404" s="80"/>
      <c r="H404" s="37"/>
      <c r="I404" s="63"/>
      <c r="J404" s="64"/>
      <c r="K404" s="64"/>
      <c r="L404" s="64"/>
      <c r="M404" s="82"/>
    </row>
    <row r="405" spans="1:15" s="41" customFormat="1" ht="15" customHeight="1">
      <c r="A405" s="93"/>
      <c r="B405" s="131"/>
      <c r="C405" s="38"/>
      <c r="D405" s="66"/>
      <c r="E405" s="64"/>
      <c r="F405" s="79"/>
      <c r="G405" s="80"/>
      <c r="H405" s="37"/>
      <c r="I405" s="63"/>
      <c r="J405" s="64"/>
      <c r="K405" s="64"/>
      <c r="L405" s="64"/>
      <c r="M405" s="82"/>
    </row>
    <row r="406" spans="1:15" s="41" customFormat="1" ht="15" customHeight="1">
      <c r="A406" s="93"/>
      <c r="B406" s="131"/>
      <c r="C406" s="38"/>
      <c r="D406" s="66"/>
      <c r="E406" s="64"/>
      <c r="F406" s="79"/>
      <c r="G406" s="80"/>
      <c r="H406" s="37"/>
      <c r="I406" s="63"/>
      <c r="J406" s="64"/>
      <c r="K406" s="64"/>
      <c r="L406" s="64"/>
      <c r="M406" s="82"/>
    </row>
    <row r="407" spans="1:15" ht="15" customHeight="1">
      <c r="N407" s="41"/>
      <c r="O407" s="41"/>
    </row>
    <row r="408" spans="1:15" ht="15" customHeight="1">
      <c r="N408" s="41"/>
      <c r="O408" s="41"/>
    </row>
    <row r="409" spans="1:15" s="41" customFormat="1" ht="15" customHeight="1">
      <c r="A409" s="93"/>
      <c r="B409" s="131"/>
      <c r="C409" s="38"/>
      <c r="D409" s="66"/>
      <c r="E409" s="64"/>
      <c r="F409" s="79"/>
      <c r="G409" s="80"/>
      <c r="H409" s="37"/>
      <c r="I409" s="63"/>
      <c r="J409" s="64"/>
      <c r="K409" s="64"/>
      <c r="L409" s="64"/>
      <c r="M409" s="82"/>
    </row>
    <row r="410" spans="1:15" s="41" customFormat="1" ht="15" customHeight="1">
      <c r="A410" s="93"/>
      <c r="B410" s="131"/>
      <c r="C410" s="38"/>
      <c r="D410" s="66"/>
      <c r="E410" s="64"/>
      <c r="F410" s="79"/>
      <c r="G410" s="80"/>
      <c r="H410" s="37"/>
      <c r="I410" s="63"/>
      <c r="J410" s="64"/>
      <c r="K410" s="64"/>
      <c r="L410" s="64"/>
      <c r="M410" s="82"/>
    </row>
    <row r="411" spans="1:15" s="41" customFormat="1" ht="15" customHeight="1">
      <c r="A411" s="93"/>
      <c r="B411" s="131"/>
      <c r="C411" s="38"/>
      <c r="D411" s="66"/>
      <c r="E411" s="64"/>
      <c r="F411" s="79"/>
      <c r="G411" s="80"/>
      <c r="H411" s="37"/>
      <c r="I411" s="63"/>
      <c r="J411" s="64"/>
      <c r="K411" s="64"/>
      <c r="L411" s="64"/>
      <c r="M411" s="82"/>
    </row>
    <row r="412" spans="1:15" s="41" customFormat="1" ht="15" customHeight="1">
      <c r="A412" s="93"/>
      <c r="B412" s="131"/>
      <c r="C412" s="38"/>
      <c r="D412" s="66"/>
      <c r="E412" s="64"/>
      <c r="F412" s="79"/>
      <c r="G412" s="80"/>
      <c r="H412" s="37"/>
      <c r="I412" s="63"/>
      <c r="J412" s="64"/>
      <c r="K412" s="64"/>
      <c r="L412" s="64"/>
      <c r="M412" s="82"/>
    </row>
    <row r="413" spans="1:15" s="41" customFormat="1" ht="15" customHeight="1">
      <c r="A413" s="93"/>
      <c r="B413" s="131"/>
      <c r="C413" s="38"/>
      <c r="D413" s="66"/>
      <c r="E413" s="64"/>
      <c r="F413" s="79"/>
      <c r="G413" s="80"/>
      <c r="H413" s="37"/>
      <c r="I413" s="63"/>
      <c r="J413" s="64"/>
      <c r="K413" s="64"/>
      <c r="L413" s="64"/>
      <c r="M413" s="82"/>
    </row>
    <row r="414" spans="1:15" s="41" customFormat="1" ht="15" customHeight="1">
      <c r="A414" s="93"/>
      <c r="B414" s="131"/>
      <c r="C414" s="38"/>
      <c r="D414" s="66"/>
      <c r="E414" s="64"/>
      <c r="F414" s="79"/>
      <c r="G414" s="80"/>
      <c r="H414" s="37"/>
      <c r="I414" s="63"/>
      <c r="J414" s="64"/>
      <c r="K414" s="64"/>
      <c r="L414" s="64"/>
      <c r="M414" s="82"/>
    </row>
    <row r="415" spans="1:15" s="41" customFormat="1" ht="15" customHeight="1">
      <c r="A415" s="93"/>
      <c r="B415" s="131"/>
      <c r="C415" s="38"/>
      <c r="D415" s="66"/>
      <c r="E415" s="64"/>
      <c r="F415" s="79"/>
      <c r="G415" s="80"/>
      <c r="H415" s="37"/>
      <c r="I415" s="63"/>
      <c r="J415" s="64"/>
      <c r="K415" s="64"/>
      <c r="L415" s="64"/>
      <c r="M415" s="82"/>
    </row>
    <row r="416" spans="1:15" ht="15" customHeight="1">
      <c r="N416" s="41"/>
      <c r="O416" s="41"/>
    </row>
    <row r="417" spans="1:15" ht="15" customHeight="1">
      <c r="N417" s="41"/>
      <c r="O417" s="41"/>
    </row>
    <row r="418" spans="1:15" s="41" customFormat="1" ht="15" customHeight="1">
      <c r="A418" s="93"/>
      <c r="B418" s="131"/>
      <c r="C418" s="38"/>
      <c r="D418" s="66"/>
      <c r="E418" s="64"/>
      <c r="F418" s="79"/>
      <c r="G418" s="80"/>
      <c r="H418" s="37"/>
      <c r="I418" s="63"/>
      <c r="J418" s="64"/>
      <c r="K418" s="64"/>
      <c r="L418" s="64"/>
      <c r="M418" s="82"/>
    </row>
    <row r="419" spans="1:15" s="41" customFormat="1" ht="15" customHeight="1">
      <c r="A419" s="93"/>
      <c r="B419" s="131"/>
      <c r="C419" s="38"/>
      <c r="D419" s="66"/>
      <c r="E419" s="64"/>
      <c r="F419" s="79"/>
      <c r="G419" s="80"/>
      <c r="H419" s="37"/>
      <c r="I419" s="63"/>
      <c r="J419" s="64"/>
      <c r="K419" s="64"/>
      <c r="L419" s="64"/>
      <c r="M419" s="82"/>
    </row>
    <row r="420" spans="1:15" s="41" customFormat="1" ht="15" customHeight="1">
      <c r="A420" s="93"/>
      <c r="B420" s="131"/>
      <c r="C420" s="38"/>
      <c r="D420" s="66"/>
      <c r="E420" s="64"/>
      <c r="F420" s="79"/>
      <c r="G420" s="80"/>
      <c r="H420" s="37"/>
      <c r="I420" s="63"/>
      <c r="J420" s="64"/>
      <c r="K420" s="64"/>
      <c r="L420" s="64"/>
      <c r="M420" s="82"/>
    </row>
    <row r="421" spans="1:15" ht="15" customHeight="1">
      <c r="N421" s="41"/>
      <c r="O421" s="41"/>
    </row>
    <row r="422" spans="1:15" ht="15" customHeight="1">
      <c r="N422" s="41"/>
      <c r="O422" s="41"/>
    </row>
    <row r="423" spans="1:15" s="41" customFormat="1" ht="15" customHeight="1">
      <c r="A423" s="93"/>
      <c r="B423" s="131"/>
      <c r="C423" s="38"/>
      <c r="D423" s="66"/>
      <c r="E423" s="64"/>
      <c r="F423" s="79"/>
      <c r="G423" s="80"/>
      <c r="H423" s="37"/>
      <c r="I423" s="63"/>
      <c r="J423" s="64"/>
      <c r="K423" s="64"/>
      <c r="L423" s="64"/>
      <c r="M423" s="82"/>
    </row>
    <row r="424" spans="1:15" s="41" customFormat="1" ht="15" customHeight="1">
      <c r="A424" s="93"/>
      <c r="B424" s="131"/>
      <c r="C424" s="38"/>
      <c r="D424" s="66"/>
      <c r="E424" s="64"/>
      <c r="F424" s="79"/>
      <c r="G424" s="80"/>
      <c r="H424" s="37"/>
      <c r="I424" s="63"/>
      <c r="J424" s="64"/>
      <c r="K424" s="64"/>
      <c r="L424" s="64"/>
      <c r="M424" s="82"/>
    </row>
    <row r="425" spans="1:15" s="41" customFormat="1" ht="15" customHeight="1">
      <c r="A425" s="93"/>
      <c r="B425" s="131"/>
      <c r="C425" s="38"/>
      <c r="D425" s="66"/>
      <c r="E425" s="64"/>
      <c r="F425" s="79"/>
      <c r="G425" s="80"/>
      <c r="H425" s="37"/>
      <c r="I425" s="63"/>
      <c r="J425" s="64"/>
      <c r="K425" s="64"/>
      <c r="L425" s="64"/>
      <c r="M425" s="82"/>
    </row>
    <row r="426" spans="1:15" ht="15" customHeight="1"/>
    <row r="427" spans="1:15" ht="15" customHeight="1"/>
    <row r="428" spans="1:15" s="41" customFormat="1" ht="15" customHeight="1">
      <c r="A428" s="93"/>
      <c r="B428" s="131"/>
      <c r="C428" s="38"/>
      <c r="D428" s="66"/>
      <c r="E428" s="64"/>
      <c r="F428" s="79"/>
      <c r="G428" s="80"/>
      <c r="H428" s="37"/>
      <c r="I428" s="63"/>
      <c r="J428" s="64"/>
      <c r="K428" s="64"/>
      <c r="L428" s="64"/>
      <c r="M428" s="82"/>
    </row>
    <row r="429" spans="1:15" s="41" customFormat="1" ht="15" customHeight="1">
      <c r="A429" s="93"/>
      <c r="B429" s="131"/>
      <c r="C429" s="38"/>
      <c r="D429" s="66"/>
      <c r="E429" s="64"/>
      <c r="F429" s="79"/>
      <c r="G429" s="80"/>
      <c r="H429" s="37"/>
      <c r="I429" s="63"/>
      <c r="J429" s="64"/>
      <c r="K429" s="64"/>
      <c r="L429" s="64"/>
      <c r="M429" s="82"/>
    </row>
    <row r="430" spans="1:15" s="41" customFormat="1" ht="15" customHeight="1">
      <c r="A430" s="93"/>
      <c r="B430" s="131"/>
      <c r="C430" s="38"/>
      <c r="D430" s="66"/>
      <c r="E430" s="64"/>
      <c r="F430" s="79"/>
      <c r="G430" s="80"/>
      <c r="H430" s="37"/>
      <c r="I430" s="63"/>
      <c r="J430" s="64"/>
      <c r="K430" s="64"/>
      <c r="L430" s="64"/>
      <c r="M430" s="82"/>
    </row>
    <row r="431" spans="1:15" ht="15" customHeight="1">
      <c r="N431" s="41"/>
      <c r="O431" s="41"/>
    </row>
    <row r="432" spans="1:15" s="22" customFormat="1" ht="15" customHeight="1">
      <c r="A432" s="93"/>
      <c r="B432" s="131"/>
      <c r="C432" s="38"/>
      <c r="D432" s="66"/>
      <c r="E432" s="64"/>
      <c r="F432" s="79"/>
      <c r="G432" s="80"/>
      <c r="H432" s="37"/>
      <c r="I432" s="63"/>
      <c r="J432" s="64"/>
      <c r="K432" s="64"/>
      <c r="L432" s="64"/>
      <c r="M432" s="82"/>
      <c r="N432" s="41"/>
      <c r="O432" s="41"/>
    </row>
    <row r="433" spans="1:15" s="22" customFormat="1" ht="15" customHeight="1">
      <c r="A433" s="93"/>
      <c r="B433" s="131"/>
      <c r="C433" s="38"/>
      <c r="D433" s="66"/>
      <c r="E433" s="64"/>
      <c r="F433" s="79"/>
      <c r="G433" s="80"/>
      <c r="H433" s="37"/>
      <c r="I433" s="63"/>
      <c r="J433" s="64"/>
      <c r="K433" s="64"/>
      <c r="L433" s="64"/>
      <c r="M433" s="82"/>
      <c r="N433" s="41"/>
      <c r="O433" s="41"/>
    </row>
    <row r="434" spans="1:15" ht="15" customHeight="1">
      <c r="N434" s="41"/>
      <c r="O434" s="41"/>
    </row>
    <row r="435" spans="1:15" s="41" customFormat="1" ht="15" customHeight="1">
      <c r="A435" s="93"/>
      <c r="B435" s="131"/>
      <c r="C435" s="38"/>
      <c r="D435" s="66"/>
      <c r="E435" s="64"/>
      <c r="F435" s="79"/>
      <c r="G435" s="80"/>
      <c r="H435" s="37"/>
      <c r="I435" s="63"/>
      <c r="J435" s="64"/>
      <c r="K435" s="64"/>
      <c r="L435" s="64"/>
      <c r="M435" s="82"/>
      <c r="N435" s="37"/>
      <c r="O435" s="37"/>
    </row>
    <row r="436" spans="1:15" s="41" customFormat="1" ht="15" customHeight="1">
      <c r="A436" s="93"/>
      <c r="B436" s="131"/>
      <c r="C436" s="38"/>
      <c r="D436" s="66"/>
      <c r="E436" s="64"/>
      <c r="F436" s="79"/>
      <c r="G436" s="80"/>
      <c r="H436" s="37"/>
      <c r="I436" s="63"/>
      <c r="J436" s="64"/>
      <c r="K436" s="64"/>
      <c r="L436" s="64"/>
      <c r="M436" s="82"/>
      <c r="N436" s="37"/>
      <c r="O436" s="37"/>
    </row>
    <row r="437" spans="1:15" s="41" customFormat="1" ht="15" customHeight="1">
      <c r="A437" s="93"/>
      <c r="B437" s="131"/>
      <c r="C437" s="38"/>
      <c r="D437" s="66"/>
      <c r="E437" s="64"/>
      <c r="F437" s="79"/>
      <c r="G437" s="80"/>
      <c r="H437" s="37"/>
      <c r="I437" s="63"/>
      <c r="J437" s="64"/>
      <c r="K437" s="64"/>
      <c r="L437" s="64"/>
      <c r="M437" s="82"/>
    </row>
    <row r="438" spans="1:15" ht="15" customHeight="1">
      <c r="N438" s="41"/>
      <c r="O438" s="41"/>
    </row>
    <row r="439" spans="1:15" ht="15" customHeight="1">
      <c r="N439" s="41"/>
      <c r="O439" s="41"/>
    </row>
    <row r="440" spans="1:15" s="41" customFormat="1" ht="15" customHeight="1">
      <c r="A440" s="93"/>
      <c r="B440" s="131"/>
      <c r="C440" s="38"/>
      <c r="D440" s="66"/>
      <c r="E440" s="64"/>
      <c r="F440" s="79"/>
      <c r="G440" s="80"/>
      <c r="H440" s="37"/>
      <c r="I440" s="63"/>
      <c r="J440" s="64"/>
      <c r="K440" s="64"/>
      <c r="L440" s="64"/>
      <c r="M440" s="82"/>
      <c r="N440" s="37"/>
      <c r="O440" s="37"/>
    </row>
    <row r="441" spans="1:15" s="41" customFormat="1" ht="15" customHeight="1">
      <c r="A441" s="93"/>
      <c r="B441" s="131"/>
      <c r="C441" s="38"/>
      <c r="D441" s="66"/>
      <c r="E441" s="64"/>
      <c r="F441" s="79"/>
      <c r="G441" s="80"/>
      <c r="H441" s="37"/>
      <c r="I441" s="63"/>
      <c r="J441" s="64"/>
      <c r="K441" s="64"/>
      <c r="L441" s="64"/>
      <c r="M441" s="82"/>
      <c r="N441" s="37"/>
      <c r="O441" s="37"/>
    </row>
    <row r="442" spans="1:15" s="41" customFormat="1" ht="15" customHeight="1">
      <c r="A442" s="93"/>
      <c r="B442" s="131"/>
      <c r="C442" s="38"/>
      <c r="D442" s="66"/>
      <c r="E442" s="64"/>
      <c r="F442" s="79"/>
      <c r="G442" s="80"/>
      <c r="H442" s="37"/>
      <c r="I442" s="63"/>
      <c r="J442" s="64"/>
      <c r="K442" s="64"/>
      <c r="L442" s="64"/>
      <c r="M442" s="82"/>
    </row>
    <row r="443" spans="1:15" ht="15" customHeight="1">
      <c r="N443" s="41"/>
      <c r="O443" s="41"/>
    </row>
    <row r="444" spans="1:15" s="22" customFormat="1" ht="15" customHeight="1">
      <c r="A444" s="93"/>
      <c r="B444" s="131"/>
      <c r="C444" s="38"/>
      <c r="D444" s="66"/>
      <c r="E444" s="64"/>
      <c r="F444" s="79"/>
      <c r="G444" s="80"/>
      <c r="H444" s="37"/>
      <c r="I444" s="63"/>
      <c r="J444" s="64"/>
      <c r="K444" s="64"/>
      <c r="L444" s="64"/>
      <c r="M444" s="82"/>
      <c r="N444" s="41"/>
      <c r="O444" s="41"/>
    </row>
    <row r="445" spans="1:15" s="22" customFormat="1" ht="15" customHeight="1">
      <c r="A445" s="93"/>
      <c r="B445" s="131"/>
      <c r="C445" s="38"/>
      <c r="D445" s="66"/>
      <c r="E445" s="64"/>
      <c r="F445" s="79"/>
      <c r="G445" s="80"/>
      <c r="H445" s="37"/>
      <c r="I445" s="63"/>
      <c r="J445" s="64"/>
      <c r="K445" s="64"/>
      <c r="L445" s="64"/>
      <c r="M445" s="82"/>
      <c r="N445" s="37"/>
      <c r="O445" s="37"/>
    </row>
    <row r="446" spans="1:15" s="22" customFormat="1" ht="15" customHeight="1">
      <c r="A446" s="93"/>
      <c r="B446" s="131"/>
      <c r="C446" s="38"/>
      <c r="D446" s="66"/>
      <c r="E446" s="64"/>
      <c r="F446" s="79"/>
      <c r="G446" s="80"/>
      <c r="H446" s="37"/>
      <c r="I446" s="63"/>
      <c r="J446" s="64"/>
      <c r="K446" s="64"/>
      <c r="L446" s="64"/>
      <c r="M446" s="82"/>
      <c r="N446" s="37"/>
      <c r="O446" s="37"/>
    </row>
    <row r="447" spans="1:15" s="22" customFormat="1" ht="15" customHeight="1">
      <c r="A447" s="93"/>
      <c r="B447" s="131"/>
      <c r="C447" s="38"/>
      <c r="D447" s="66"/>
      <c r="E447" s="64"/>
      <c r="F447" s="79"/>
      <c r="G447" s="80"/>
      <c r="H447" s="37"/>
      <c r="I447" s="63"/>
      <c r="J447" s="64"/>
      <c r="K447" s="64"/>
      <c r="L447" s="64"/>
      <c r="M447" s="82"/>
      <c r="N447" s="41"/>
      <c r="O447" s="41"/>
    </row>
    <row r="448" spans="1:15" s="22" customFormat="1" ht="15" customHeight="1">
      <c r="A448" s="93"/>
      <c r="B448" s="131"/>
      <c r="C448" s="38"/>
      <c r="D448" s="66"/>
      <c r="E448" s="64"/>
      <c r="F448" s="79"/>
      <c r="G448" s="80"/>
      <c r="H448" s="37"/>
      <c r="I448" s="63"/>
      <c r="J448" s="64"/>
      <c r="K448" s="64"/>
      <c r="L448" s="64"/>
      <c r="M448" s="82"/>
      <c r="N448" s="41"/>
      <c r="O448" s="41"/>
    </row>
    <row r="449" spans="1:15" s="22" customFormat="1" ht="15" customHeight="1">
      <c r="A449" s="93"/>
      <c r="B449" s="131"/>
      <c r="C449" s="38"/>
      <c r="D449" s="66"/>
      <c r="E449" s="64"/>
      <c r="F449" s="79"/>
      <c r="G449" s="80"/>
      <c r="H449" s="37"/>
      <c r="I449" s="63"/>
      <c r="J449" s="64"/>
      <c r="K449" s="64"/>
      <c r="L449" s="64"/>
      <c r="M449" s="82"/>
      <c r="N449" s="41"/>
      <c r="O449" s="41"/>
    </row>
    <row r="450" spans="1:15" s="22" customFormat="1" ht="15" customHeight="1">
      <c r="A450" s="93"/>
      <c r="B450" s="131"/>
      <c r="C450" s="38"/>
      <c r="D450" s="66"/>
      <c r="E450" s="64"/>
      <c r="F450" s="79"/>
      <c r="G450" s="80"/>
      <c r="H450" s="37"/>
      <c r="I450" s="63"/>
      <c r="J450" s="64"/>
      <c r="K450" s="64"/>
      <c r="L450" s="64"/>
      <c r="M450" s="82"/>
      <c r="N450" s="37"/>
      <c r="O450" s="37"/>
    </row>
    <row r="451" spans="1:15" s="22" customFormat="1" ht="15" customHeight="1">
      <c r="A451" s="93"/>
      <c r="B451" s="131"/>
      <c r="C451" s="38"/>
      <c r="D451" s="66"/>
      <c r="E451" s="64"/>
      <c r="F451" s="79"/>
      <c r="G451" s="80"/>
      <c r="H451" s="37"/>
      <c r="I451" s="63"/>
      <c r="J451" s="64"/>
      <c r="K451" s="64"/>
      <c r="L451" s="64"/>
      <c r="M451" s="82"/>
    </row>
    <row r="452" spans="1:15" s="22" customFormat="1" ht="15" customHeight="1">
      <c r="A452" s="93"/>
      <c r="B452" s="131"/>
      <c r="C452" s="38"/>
      <c r="D452" s="66"/>
      <c r="E452" s="64"/>
      <c r="F452" s="79"/>
      <c r="G452" s="80"/>
      <c r="H452" s="37"/>
      <c r="I452" s="63"/>
      <c r="J452" s="64"/>
      <c r="K452" s="64"/>
      <c r="L452" s="64"/>
      <c r="M452" s="82"/>
    </row>
    <row r="453" spans="1:15" s="22" customFormat="1" ht="15" customHeight="1">
      <c r="A453" s="93"/>
      <c r="B453" s="131"/>
      <c r="C453" s="38"/>
      <c r="D453" s="66"/>
      <c r="E453" s="64"/>
      <c r="F453" s="79"/>
      <c r="G453" s="80"/>
      <c r="H453" s="37"/>
      <c r="I453" s="63"/>
      <c r="J453" s="64"/>
      <c r="K453" s="64"/>
      <c r="L453" s="64"/>
      <c r="M453" s="82"/>
      <c r="N453" s="37"/>
      <c r="O453" s="37"/>
    </row>
    <row r="454" spans="1:15" s="22" customFormat="1" ht="15" customHeight="1">
      <c r="A454" s="93"/>
      <c r="B454" s="131"/>
      <c r="C454" s="38"/>
      <c r="D454" s="66"/>
      <c r="E454" s="64"/>
      <c r="F454" s="79"/>
      <c r="G454" s="80"/>
      <c r="H454" s="37"/>
      <c r="I454" s="63"/>
      <c r="J454" s="64"/>
      <c r="K454" s="64"/>
      <c r="L454" s="64"/>
      <c r="M454" s="82"/>
      <c r="N454" s="41"/>
      <c r="O454" s="41"/>
    </row>
    <row r="455" spans="1:15" s="22" customFormat="1" ht="15" customHeight="1">
      <c r="A455" s="93"/>
      <c r="B455" s="131"/>
      <c r="C455" s="38"/>
      <c r="D455" s="66"/>
      <c r="E455" s="64"/>
      <c r="F455" s="79"/>
      <c r="G455" s="80"/>
      <c r="H455" s="37"/>
      <c r="I455" s="63"/>
      <c r="J455" s="64"/>
      <c r="K455" s="64"/>
      <c r="L455" s="64"/>
      <c r="M455" s="82"/>
      <c r="N455" s="41"/>
      <c r="O455" s="41"/>
    </row>
    <row r="456" spans="1:15" s="22" customFormat="1" ht="15" customHeight="1">
      <c r="A456" s="93"/>
      <c r="B456" s="131"/>
      <c r="C456" s="38"/>
      <c r="D456" s="66"/>
      <c r="E456" s="64"/>
      <c r="F456" s="79"/>
      <c r="G456" s="80"/>
      <c r="H456" s="37"/>
      <c r="I456" s="63"/>
      <c r="J456" s="64"/>
      <c r="K456" s="64"/>
      <c r="L456" s="64"/>
      <c r="M456" s="82"/>
      <c r="N456" s="41"/>
      <c r="O456" s="41"/>
    </row>
    <row r="457" spans="1:15" s="22" customFormat="1" ht="15" customHeight="1">
      <c r="A457" s="93"/>
      <c r="B457" s="131"/>
      <c r="C457" s="38"/>
      <c r="D457" s="66"/>
      <c r="E457" s="64"/>
      <c r="F457" s="79"/>
      <c r="G457" s="80"/>
      <c r="H457" s="37"/>
      <c r="I457" s="63"/>
      <c r="J457" s="64"/>
      <c r="K457" s="64"/>
      <c r="L457" s="64"/>
      <c r="M457" s="82"/>
      <c r="N457" s="37"/>
      <c r="O457" s="37"/>
    </row>
    <row r="458" spans="1:15" s="22" customFormat="1" ht="15" customHeight="1">
      <c r="A458" s="93"/>
      <c r="B458" s="131"/>
      <c r="C458" s="38"/>
      <c r="D458" s="66"/>
      <c r="E458" s="64"/>
      <c r="F458" s="79"/>
      <c r="G458" s="80"/>
      <c r="H458" s="37"/>
      <c r="I458" s="63"/>
      <c r="J458" s="64"/>
      <c r="K458" s="64"/>
      <c r="L458" s="64"/>
      <c r="M458" s="82"/>
      <c r="N458" s="37"/>
      <c r="O458" s="37"/>
    </row>
    <row r="459" spans="1:15" s="22" customFormat="1" ht="15" customHeight="1">
      <c r="A459" s="93"/>
      <c r="B459" s="131"/>
      <c r="C459" s="38"/>
      <c r="D459" s="66"/>
      <c r="E459" s="64"/>
      <c r="F459" s="79"/>
      <c r="G459" s="80"/>
      <c r="H459" s="37"/>
      <c r="I459" s="63"/>
      <c r="J459" s="64"/>
      <c r="K459" s="64"/>
      <c r="L459" s="64"/>
      <c r="M459" s="82"/>
      <c r="N459" s="41"/>
      <c r="O459" s="41"/>
    </row>
    <row r="460" spans="1:15" s="22" customFormat="1" ht="15" customHeight="1">
      <c r="A460" s="93"/>
      <c r="B460" s="131"/>
      <c r="C460" s="38"/>
      <c r="D460" s="66"/>
      <c r="E460" s="64"/>
      <c r="F460" s="79"/>
      <c r="G460" s="80"/>
      <c r="H460" s="37"/>
      <c r="I460" s="63"/>
      <c r="J460" s="64"/>
      <c r="K460" s="64"/>
      <c r="L460" s="64"/>
      <c r="M460" s="82"/>
      <c r="N460" s="41"/>
      <c r="O460" s="41"/>
    </row>
    <row r="461" spans="1:15" ht="15" customHeight="1">
      <c r="N461" s="41"/>
      <c r="O461" s="41"/>
    </row>
    <row r="462" spans="1:15" s="41" customFormat="1" ht="15" customHeight="1">
      <c r="A462" s="93"/>
      <c r="B462" s="131"/>
      <c r="C462" s="38"/>
      <c r="D462" s="66"/>
      <c r="E462" s="64"/>
      <c r="F462" s="79"/>
      <c r="G462" s="80"/>
      <c r="H462" s="37"/>
      <c r="I462" s="63"/>
      <c r="J462" s="64"/>
      <c r="K462" s="64"/>
      <c r="L462" s="64"/>
      <c r="M462" s="82"/>
      <c r="N462" s="37"/>
      <c r="O462" s="37"/>
    </row>
    <row r="463" spans="1:15" s="41" customFormat="1" ht="15" customHeight="1">
      <c r="A463" s="93"/>
      <c r="B463" s="131"/>
      <c r="C463" s="38"/>
      <c r="D463" s="66"/>
      <c r="E463" s="64"/>
      <c r="F463" s="79"/>
      <c r="G463" s="80"/>
      <c r="H463" s="37"/>
      <c r="I463" s="63"/>
      <c r="J463" s="64"/>
      <c r="K463" s="64"/>
      <c r="L463" s="64"/>
      <c r="M463" s="82"/>
      <c r="N463" s="22"/>
      <c r="O463" s="22"/>
    </row>
    <row r="464" spans="1:15" s="41" customFormat="1" ht="15" customHeight="1">
      <c r="A464" s="93"/>
      <c r="B464" s="131"/>
      <c r="C464" s="38"/>
      <c r="D464" s="66"/>
      <c r="E464" s="64"/>
      <c r="F464" s="79"/>
      <c r="G464" s="80"/>
      <c r="H464" s="37"/>
      <c r="I464" s="63"/>
      <c r="J464" s="64"/>
      <c r="K464" s="64"/>
      <c r="L464" s="64"/>
      <c r="M464" s="82"/>
      <c r="N464" s="22"/>
      <c r="O464" s="22"/>
    </row>
    <row r="465" spans="1:15" ht="15" customHeight="1">
      <c r="N465" s="22"/>
      <c r="O465" s="22"/>
    </row>
    <row r="466" spans="1:15" ht="15" customHeight="1">
      <c r="N466" s="22"/>
      <c r="O466" s="22"/>
    </row>
    <row r="467" spans="1:15" s="41" customFormat="1" ht="15" customHeight="1">
      <c r="A467" s="93"/>
      <c r="B467" s="131"/>
      <c r="C467" s="38"/>
      <c r="D467" s="66"/>
      <c r="E467" s="64"/>
      <c r="F467" s="79"/>
      <c r="G467" s="80"/>
      <c r="H467" s="37"/>
      <c r="I467" s="63"/>
      <c r="J467" s="64"/>
      <c r="K467" s="64"/>
      <c r="L467" s="64"/>
      <c r="M467" s="82"/>
      <c r="N467" s="22"/>
      <c r="O467" s="22"/>
    </row>
    <row r="468" spans="1:15" s="41" customFormat="1" ht="15" customHeight="1">
      <c r="A468" s="93"/>
      <c r="B468" s="131"/>
      <c r="C468" s="38"/>
      <c r="D468" s="66"/>
      <c r="E468" s="64"/>
      <c r="F468" s="79"/>
      <c r="G468" s="80"/>
      <c r="H468" s="37"/>
      <c r="I468" s="63"/>
      <c r="J468" s="64"/>
      <c r="K468" s="64"/>
      <c r="L468" s="64"/>
      <c r="M468" s="82"/>
      <c r="N468" s="22"/>
      <c r="O468" s="22"/>
    </row>
    <row r="469" spans="1:15" s="41" customFormat="1" ht="15" customHeight="1">
      <c r="A469" s="93"/>
      <c r="B469" s="131"/>
      <c r="C469" s="38"/>
      <c r="D469" s="66"/>
      <c r="E469" s="64"/>
      <c r="F469" s="79"/>
      <c r="G469" s="80"/>
      <c r="H469" s="37"/>
      <c r="I469" s="63"/>
      <c r="J469" s="64"/>
      <c r="K469" s="64"/>
      <c r="L469" s="64"/>
      <c r="M469" s="82"/>
      <c r="N469" s="22"/>
      <c r="O469" s="22"/>
    </row>
    <row r="470" spans="1:15" ht="15" customHeight="1">
      <c r="N470" s="22"/>
      <c r="O470" s="22"/>
    </row>
    <row r="471" spans="1:15" s="22" customFormat="1" ht="15" customHeight="1">
      <c r="A471" s="93"/>
      <c r="B471" s="131"/>
      <c r="C471" s="38"/>
      <c r="D471" s="66"/>
      <c r="E471" s="64"/>
      <c r="F471" s="79"/>
      <c r="G471" s="80"/>
      <c r="H471" s="37"/>
      <c r="I471" s="63"/>
      <c r="J471" s="64"/>
      <c r="K471" s="64"/>
      <c r="L471" s="64"/>
      <c r="M471" s="82"/>
    </row>
    <row r="472" spans="1:15" s="22" customFormat="1" ht="15" customHeight="1">
      <c r="A472" s="93"/>
      <c r="B472" s="131"/>
      <c r="C472" s="38"/>
      <c r="D472" s="66"/>
      <c r="E472" s="64"/>
      <c r="F472" s="79"/>
      <c r="G472" s="80"/>
      <c r="H472" s="37"/>
      <c r="I472" s="63"/>
      <c r="J472" s="64"/>
      <c r="K472" s="64"/>
      <c r="L472" s="64"/>
      <c r="M472" s="82"/>
    </row>
    <row r="473" spans="1:15" s="22" customFormat="1" ht="15" customHeight="1">
      <c r="A473" s="93"/>
      <c r="B473" s="131"/>
      <c r="C473" s="38"/>
      <c r="D473" s="66"/>
      <c r="E473" s="64"/>
      <c r="F473" s="79"/>
      <c r="G473" s="80"/>
      <c r="H473" s="37"/>
      <c r="I473" s="63"/>
      <c r="J473" s="64"/>
      <c r="K473" s="64"/>
      <c r="L473" s="64"/>
      <c r="M473" s="82"/>
    </row>
    <row r="474" spans="1:15" s="22" customFormat="1" ht="15" customHeight="1">
      <c r="A474" s="93"/>
      <c r="B474" s="131"/>
      <c r="C474" s="38"/>
      <c r="D474" s="66"/>
      <c r="E474" s="64"/>
      <c r="F474" s="79"/>
      <c r="G474" s="80"/>
      <c r="H474" s="37"/>
      <c r="I474" s="63"/>
      <c r="J474" s="64"/>
      <c r="K474" s="64"/>
      <c r="L474" s="64"/>
      <c r="M474" s="82"/>
    </row>
    <row r="475" spans="1:15" s="22" customFormat="1" ht="15" customHeight="1">
      <c r="A475" s="93"/>
      <c r="B475" s="131"/>
      <c r="C475" s="38"/>
      <c r="D475" s="66"/>
      <c r="E475" s="64"/>
      <c r="F475" s="79"/>
      <c r="G475" s="80"/>
      <c r="H475" s="37"/>
      <c r="I475" s="63"/>
      <c r="J475" s="64"/>
      <c r="K475" s="64"/>
      <c r="L475" s="64"/>
      <c r="M475" s="82"/>
    </row>
    <row r="476" spans="1:15" s="22" customFormat="1" ht="15" customHeight="1">
      <c r="A476" s="93"/>
      <c r="B476" s="131"/>
      <c r="C476" s="38"/>
      <c r="D476" s="66"/>
      <c r="E476" s="64"/>
      <c r="F476" s="79"/>
      <c r="G476" s="80"/>
      <c r="H476" s="37"/>
      <c r="I476" s="63"/>
      <c r="J476" s="64"/>
      <c r="K476" s="64"/>
      <c r="L476" s="64"/>
      <c r="M476" s="82"/>
    </row>
    <row r="477" spans="1:15" s="22" customFormat="1" ht="15" customHeight="1">
      <c r="A477" s="93"/>
      <c r="B477" s="131"/>
      <c r="C477" s="38"/>
      <c r="D477" s="66"/>
      <c r="E477" s="64"/>
      <c r="F477" s="79"/>
      <c r="G477" s="80"/>
      <c r="H477" s="37"/>
      <c r="I477" s="63"/>
      <c r="J477" s="64"/>
      <c r="K477" s="64"/>
      <c r="L477" s="64"/>
      <c r="M477" s="82"/>
    </row>
    <row r="478" spans="1:15" s="22" customFormat="1" ht="15" customHeight="1">
      <c r="A478" s="93"/>
      <c r="B478" s="131"/>
      <c r="C478" s="38"/>
      <c r="D478" s="66"/>
      <c r="E478" s="64"/>
      <c r="F478" s="79"/>
      <c r="G478" s="80"/>
      <c r="H478" s="37"/>
      <c r="I478" s="63"/>
      <c r="J478" s="64"/>
      <c r="K478" s="64"/>
      <c r="L478" s="64"/>
      <c r="M478" s="82"/>
    </row>
    <row r="479" spans="1:15" s="22" customFormat="1" ht="15" customHeight="1">
      <c r="A479" s="93"/>
      <c r="B479" s="131"/>
      <c r="C479" s="38"/>
      <c r="D479" s="66"/>
      <c r="E479" s="64"/>
      <c r="F479" s="79"/>
      <c r="G479" s="80"/>
      <c r="H479" s="37"/>
      <c r="I479" s="63"/>
      <c r="J479" s="64"/>
      <c r="K479" s="64"/>
      <c r="L479" s="64"/>
      <c r="M479" s="82"/>
    </row>
    <row r="480" spans="1:15" s="22" customFormat="1" ht="15" customHeight="1">
      <c r="A480" s="93"/>
      <c r="B480" s="131"/>
      <c r="C480" s="38"/>
      <c r="D480" s="66"/>
      <c r="E480" s="64"/>
      <c r="F480" s="79"/>
      <c r="G480" s="80"/>
      <c r="H480" s="37"/>
      <c r="I480" s="63"/>
      <c r="J480" s="64"/>
      <c r="K480" s="64"/>
      <c r="L480" s="64"/>
      <c r="M480" s="82"/>
      <c r="N480" s="37"/>
      <c r="O480" s="37"/>
    </row>
    <row r="481" spans="1:15" s="22" customFormat="1" ht="15" customHeight="1">
      <c r="A481" s="93"/>
      <c r="B481" s="131"/>
      <c r="C481" s="38"/>
      <c r="D481" s="66"/>
      <c r="E481" s="64"/>
      <c r="F481" s="79"/>
      <c r="G481" s="80"/>
      <c r="H481" s="37"/>
      <c r="I481" s="63"/>
      <c r="J481" s="64"/>
      <c r="K481" s="64"/>
      <c r="L481" s="64"/>
      <c r="M481" s="82"/>
      <c r="N481" s="41"/>
      <c r="O481" s="41"/>
    </row>
    <row r="482" spans="1:15" s="22" customFormat="1" ht="15" customHeight="1">
      <c r="A482" s="93"/>
      <c r="B482" s="131"/>
      <c r="C482" s="38"/>
      <c r="D482" s="66"/>
      <c r="E482" s="64"/>
      <c r="F482" s="79"/>
      <c r="G482" s="80"/>
      <c r="H482" s="37"/>
      <c r="I482" s="63"/>
      <c r="J482" s="64"/>
      <c r="K482" s="64"/>
      <c r="L482" s="64"/>
      <c r="M482" s="82"/>
      <c r="N482" s="41"/>
      <c r="O482" s="41"/>
    </row>
    <row r="483" spans="1:15" s="22" customFormat="1" ht="15" customHeight="1">
      <c r="A483" s="93"/>
      <c r="B483" s="131"/>
      <c r="C483" s="38"/>
      <c r="D483" s="66"/>
      <c r="E483" s="64"/>
      <c r="F483" s="79"/>
      <c r="G483" s="80"/>
      <c r="H483" s="37"/>
      <c r="I483" s="63"/>
      <c r="J483" s="64"/>
      <c r="K483" s="64"/>
      <c r="L483" s="64"/>
      <c r="M483" s="82"/>
      <c r="N483" s="41"/>
      <c r="O483" s="41"/>
    </row>
    <row r="484" spans="1:15" s="22" customFormat="1" ht="15" customHeight="1">
      <c r="A484" s="93"/>
      <c r="B484" s="131"/>
      <c r="C484" s="38"/>
      <c r="D484" s="66"/>
      <c r="E484" s="64"/>
      <c r="F484" s="79"/>
      <c r="G484" s="80"/>
      <c r="H484" s="37"/>
      <c r="I484" s="63"/>
      <c r="J484" s="64"/>
      <c r="K484" s="64"/>
      <c r="L484" s="64"/>
      <c r="M484" s="82"/>
      <c r="N484" s="37"/>
      <c r="O484" s="37"/>
    </row>
    <row r="485" spans="1:15" s="22" customFormat="1" ht="15" customHeight="1">
      <c r="A485" s="93"/>
      <c r="B485" s="131"/>
      <c r="C485" s="38"/>
      <c r="D485" s="66"/>
      <c r="E485" s="64"/>
      <c r="F485" s="79"/>
      <c r="G485" s="80"/>
      <c r="H485" s="37"/>
      <c r="I485" s="63"/>
      <c r="J485" s="64"/>
      <c r="K485" s="64"/>
      <c r="L485" s="64"/>
      <c r="M485" s="82"/>
      <c r="N485" s="37"/>
      <c r="O485" s="37"/>
    </row>
    <row r="486" spans="1:15" s="22" customFormat="1" ht="15" customHeight="1">
      <c r="A486" s="93"/>
      <c r="B486" s="131"/>
      <c r="C486" s="38"/>
      <c r="D486" s="66"/>
      <c r="E486" s="64"/>
      <c r="F486" s="79"/>
      <c r="G486" s="80"/>
      <c r="H486" s="37"/>
      <c r="I486" s="63"/>
      <c r="J486" s="64"/>
      <c r="K486" s="64"/>
      <c r="L486" s="64"/>
      <c r="M486" s="82"/>
      <c r="N486" s="41"/>
      <c r="O486" s="41"/>
    </row>
    <row r="487" spans="1:15" s="22" customFormat="1" ht="15" customHeight="1">
      <c r="A487" s="93"/>
      <c r="B487" s="131"/>
      <c r="C487" s="38"/>
      <c r="D487" s="66"/>
      <c r="E487" s="64"/>
      <c r="F487" s="79"/>
      <c r="G487" s="80"/>
      <c r="H487" s="37"/>
      <c r="I487" s="63"/>
      <c r="J487" s="64"/>
      <c r="K487" s="64"/>
      <c r="L487" s="64"/>
      <c r="M487" s="82"/>
      <c r="N487" s="41"/>
      <c r="O487" s="41"/>
    </row>
    <row r="488" spans="1:15" s="22" customFormat="1" ht="15" customHeight="1">
      <c r="A488" s="93"/>
      <c r="B488" s="131"/>
      <c r="C488" s="38"/>
      <c r="D488" s="66"/>
      <c r="E488" s="64"/>
      <c r="F488" s="79"/>
      <c r="G488" s="80"/>
      <c r="H488" s="37"/>
      <c r="I488" s="63"/>
      <c r="J488" s="64"/>
      <c r="K488" s="64"/>
      <c r="L488" s="64"/>
      <c r="M488" s="82"/>
      <c r="N488" s="41"/>
      <c r="O488" s="41"/>
    </row>
    <row r="489" spans="1:15" s="22" customFormat="1" ht="15" customHeight="1">
      <c r="A489" s="93"/>
      <c r="B489" s="131"/>
      <c r="C489" s="38"/>
      <c r="D489" s="66"/>
      <c r="E489" s="64"/>
      <c r="F489" s="79"/>
      <c r="G489" s="80"/>
      <c r="H489" s="37"/>
      <c r="I489" s="63"/>
      <c r="J489" s="64"/>
      <c r="K489" s="64"/>
      <c r="L489" s="64"/>
      <c r="M489" s="82"/>
      <c r="N489" s="37"/>
      <c r="O489" s="37"/>
    </row>
    <row r="490" spans="1:15" s="22" customFormat="1" ht="15" customHeight="1">
      <c r="A490" s="93"/>
      <c r="B490" s="131"/>
      <c r="C490" s="38"/>
      <c r="D490" s="66"/>
      <c r="E490" s="64"/>
      <c r="F490" s="79"/>
      <c r="G490" s="80"/>
      <c r="H490" s="37"/>
      <c r="I490" s="63"/>
      <c r="J490" s="64"/>
      <c r="K490" s="64"/>
      <c r="L490" s="64"/>
      <c r="M490" s="82"/>
    </row>
    <row r="491" spans="1:15" s="22" customFormat="1" ht="15" customHeight="1">
      <c r="A491" s="93"/>
      <c r="B491" s="131"/>
      <c r="C491" s="38"/>
      <c r="D491" s="66"/>
      <c r="E491" s="64"/>
      <c r="F491" s="79"/>
      <c r="G491" s="80"/>
      <c r="H491" s="37"/>
      <c r="I491" s="63"/>
      <c r="J491" s="64"/>
      <c r="K491" s="64"/>
      <c r="L491" s="64"/>
      <c r="M491" s="82"/>
    </row>
    <row r="492" spans="1:15" s="22" customFormat="1" ht="15" customHeight="1">
      <c r="A492" s="93"/>
      <c r="B492" s="131"/>
      <c r="C492" s="38"/>
      <c r="D492" s="66"/>
      <c r="E492" s="64"/>
      <c r="F492" s="79"/>
      <c r="G492" s="80"/>
      <c r="H492" s="37"/>
      <c r="I492" s="63"/>
      <c r="J492" s="64"/>
      <c r="K492" s="64"/>
      <c r="L492" s="64"/>
      <c r="M492" s="82"/>
    </row>
    <row r="493" spans="1:15" s="22" customFormat="1" ht="15" customHeight="1">
      <c r="A493" s="93"/>
      <c r="B493" s="131"/>
      <c r="C493" s="38"/>
      <c r="D493" s="66"/>
      <c r="E493" s="64"/>
      <c r="F493" s="79"/>
      <c r="G493" s="80"/>
      <c r="H493" s="37"/>
      <c r="I493" s="63"/>
      <c r="J493" s="64"/>
      <c r="K493" s="64"/>
      <c r="L493" s="64"/>
      <c r="M493" s="82"/>
    </row>
    <row r="494" spans="1:15" s="22" customFormat="1" ht="15" customHeight="1">
      <c r="A494" s="93"/>
      <c r="B494" s="131"/>
      <c r="C494" s="38"/>
      <c r="D494" s="66"/>
      <c r="E494" s="64"/>
      <c r="F494" s="79"/>
      <c r="G494" s="80"/>
      <c r="H494" s="37"/>
      <c r="I494" s="63"/>
      <c r="J494" s="64"/>
      <c r="K494" s="64"/>
      <c r="L494" s="64"/>
      <c r="M494" s="82"/>
    </row>
    <row r="495" spans="1:15" s="22" customFormat="1" ht="15" customHeight="1">
      <c r="A495" s="93"/>
      <c r="B495" s="131"/>
      <c r="C495" s="38"/>
      <c r="D495" s="66"/>
      <c r="E495" s="64"/>
      <c r="F495" s="79"/>
      <c r="G495" s="80"/>
      <c r="H495" s="37"/>
      <c r="I495" s="63"/>
      <c r="J495" s="64"/>
      <c r="K495" s="64"/>
      <c r="L495" s="64"/>
      <c r="M495" s="82"/>
    </row>
    <row r="496" spans="1:15" s="22" customFormat="1" ht="15" customHeight="1">
      <c r="A496" s="93"/>
      <c r="B496" s="131"/>
      <c r="C496" s="38"/>
      <c r="D496" s="66"/>
      <c r="E496" s="64"/>
      <c r="F496" s="79"/>
      <c r="G496" s="80"/>
      <c r="H496" s="37"/>
      <c r="I496" s="63"/>
      <c r="J496" s="64"/>
      <c r="K496" s="64"/>
      <c r="L496" s="64"/>
      <c r="M496" s="82"/>
    </row>
    <row r="497" spans="1:13" s="22" customFormat="1" ht="15" customHeight="1">
      <c r="A497" s="93"/>
      <c r="B497" s="131"/>
      <c r="C497" s="38"/>
      <c r="D497" s="66"/>
      <c r="E497" s="64"/>
      <c r="F497" s="79"/>
      <c r="G497" s="80"/>
      <c r="H497" s="37"/>
      <c r="I497" s="63"/>
      <c r="J497" s="64"/>
      <c r="K497" s="64"/>
      <c r="L497" s="64"/>
      <c r="M497" s="82"/>
    </row>
    <row r="498" spans="1:13" s="22" customFormat="1" ht="15" customHeight="1">
      <c r="A498" s="93"/>
      <c r="B498" s="131"/>
      <c r="C498" s="38"/>
      <c r="D498" s="66"/>
      <c r="E498" s="64"/>
      <c r="F498" s="79"/>
      <c r="G498" s="80"/>
      <c r="H498" s="37"/>
      <c r="I498" s="63"/>
      <c r="J498" s="64"/>
      <c r="K498" s="64"/>
      <c r="L498" s="64"/>
      <c r="M498" s="82"/>
    </row>
    <row r="499" spans="1:13" s="22" customFormat="1" ht="15" customHeight="1">
      <c r="A499" s="93"/>
      <c r="B499" s="131"/>
      <c r="C499" s="38"/>
      <c r="D499" s="66"/>
      <c r="E499" s="64"/>
      <c r="F499" s="79"/>
      <c r="G499" s="80"/>
      <c r="H499" s="37"/>
      <c r="I499" s="63"/>
      <c r="J499" s="64"/>
      <c r="K499" s="64"/>
      <c r="L499" s="64"/>
      <c r="M499" s="82"/>
    </row>
    <row r="500" spans="1:13" s="22" customFormat="1" ht="15" customHeight="1">
      <c r="A500" s="93"/>
      <c r="B500" s="131"/>
      <c r="C500" s="38"/>
      <c r="D500" s="66"/>
      <c r="E500" s="64"/>
      <c r="F500" s="79"/>
      <c r="G500" s="80"/>
      <c r="H500" s="37"/>
      <c r="I500" s="63"/>
      <c r="J500" s="64"/>
      <c r="K500" s="64"/>
      <c r="L500" s="64"/>
      <c r="M500" s="82"/>
    </row>
    <row r="501" spans="1:13" s="22" customFormat="1" ht="15" customHeight="1">
      <c r="A501" s="93"/>
      <c r="B501" s="131"/>
      <c r="C501" s="38"/>
      <c r="D501" s="66"/>
      <c r="E501" s="64"/>
      <c r="F501" s="79"/>
      <c r="G501" s="80"/>
      <c r="H501" s="37"/>
      <c r="I501" s="63"/>
      <c r="J501" s="64"/>
      <c r="K501" s="64"/>
      <c r="L501" s="64"/>
      <c r="M501" s="82"/>
    </row>
    <row r="502" spans="1:13" s="22" customFormat="1" ht="15" customHeight="1">
      <c r="A502" s="93"/>
      <c r="B502" s="131"/>
      <c r="C502" s="38"/>
      <c r="D502" s="66"/>
      <c r="E502" s="64"/>
      <c r="F502" s="79"/>
      <c r="G502" s="80"/>
      <c r="H502" s="37"/>
      <c r="I502" s="63"/>
      <c r="J502" s="64"/>
      <c r="K502" s="64"/>
      <c r="L502" s="64"/>
      <c r="M502" s="82"/>
    </row>
    <row r="503" spans="1:13" s="22" customFormat="1" ht="15" customHeight="1">
      <c r="A503" s="93"/>
      <c r="B503" s="131"/>
      <c r="C503" s="38"/>
      <c r="D503" s="66"/>
      <c r="E503" s="64"/>
      <c r="F503" s="79"/>
      <c r="G503" s="80"/>
      <c r="H503" s="37"/>
      <c r="I503" s="63"/>
      <c r="J503" s="64"/>
      <c r="K503" s="64"/>
      <c r="L503" s="64"/>
      <c r="M503" s="82"/>
    </row>
    <row r="504" spans="1:13" s="22" customFormat="1" ht="15" customHeight="1">
      <c r="A504" s="93"/>
      <c r="B504" s="131"/>
      <c r="C504" s="38"/>
      <c r="D504" s="66"/>
      <c r="E504" s="64"/>
      <c r="F504" s="79"/>
      <c r="G504" s="80"/>
      <c r="H504" s="37"/>
      <c r="I504" s="63"/>
      <c r="J504" s="64"/>
      <c r="K504" s="64"/>
      <c r="L504" s="64"/>
      <c r="M504" s="82"/>
    </row>
    <row r="505" spans="1:13" s="22" customFormat="1" ht="15" customHeight="1">
      <c r="A505" s="93"/>
      <c r="B505" s="131"/>
      <c r="C505" s="38"/>
      <c r="D505" s="66"/>
      <c r="E505" s="64"/>
      <c r="F505" s="79"/>
      <c r="G505" s="80"/>
      <c r="H505" s="37"/>
      <c r="I505" s="63"/>
      <c r="J505" s="64"/>
      <c r="K505" s="64"/>
      <c r="L505" s="64"/>
      <c r="M505" s="82"/>
    </row>
    <row r="506" spans="1:13" s="22" customFormat="1" ht="15" customHeight="1">
      <c r="A506" s="93"/>
      <c r="B506" s="131"/>
      <c r="C506" s="38"/>
      <c r="D506" s="66"/>
      <c r="E506" s="64"/>
      <c r="F506" s="79"/>
      <c r="G506" s="80"/>
      <c r="H506" s="37"/>
      <c r="I506" s="63"/>
      <c r="J506" s="64"/>
      <c r="K506" s="64"/>
      <c r="L506" s="64"/>
      <c r="M506" s="82"/>
    </row>
    <row r="507" spans="1:13" s="22" customFormat="1" ht="15" customHeight="1">
      <c r="A507" s="93"/>
      <c r="B507" s="131"/>
      <c r="C507" s="38"/>
      <c r="D507" s="66"/>
      <c r="E507" s="64"/>
      <c r="F507" s="79"/>
      <c r="G507" s="80"/>
      <c r="H507" s="37"/>
      <c r="I507" s="63"/>
      <c r="J507" s="64"/>
      <c r="K507" s="64"/>
      <c r="L507" s="64"/>
      <c r="M507" s="82"/>
    </row>
    <row r="508" spans="1:13" s="22" customFormat="1" ht="15" customHeight="1">
      <c r="A508" s="93"/>
      <c r="B508" s="131"/>
      <c r="C508" s="38"/>
      <c r="D508" s="66"/>
      <c r="E508" s="64"/>
      <c r="F508" s="79"/>
      <c r="G508" s="80"/>
      <c r="H508" s="37"/>
      <c r="I508" s="63"/>
      <c r="J508" s="64"/>
      <c r="K508" s="64"/>
      <c r="L508" s="64"/>
      <c r="M508" s="82"/>
    </row>
    <row r="509" spans="1:13" s="22" customFormat="1" ht="15" customHeight="1">
      <c r="A509" s="93"/>
      <c r="B509" s="131"/>
      <c r="C509" s="38"/>
      <c r="D509" s="66"/>
      <c r="E509" s="64"/>
      <c r="F509" s="79"/>
      <c r="G509" s="80"/>
      <c r="H509" s="37"/>
      <c r="I509" s="63"/>
      <c r="J509" s="64"/>
      <c r="K509" s="64"/>
      <c r="L509" s="64"/>
      <c r="M509" s="82"/>
    </row>
    <row r="510" spans="1:13" s="22" customFormat="1" ht="15" customHeight="1">
      <c r="A510" s="93"/>
      <c r="B510" s="131"/>
      <c r="C510" s="38"/>
      <c r="D510" s="66"/>
      <c r="E510" s="64"/>
      <c r="F510" s="79"/>
      <c r="G510" s="80"/>
      <c r="H510" s="37"/>
      <c r="I510" s="63"/>
      <c r="J510" s="64"/>
      <c r="K510" s="64"/>
      <c r="L510" s="64"/>
      <c r="M510" s="82"/>
    </row>
    <row r="511" spans="1:13" s="22" customFormat="1" ht="15" customHeight="1">
      <c r="A511" s="93"/>
      <c r="B511" s="131"/>
      <c r="C511" s="38"/>
      <c r="D511" s="66"/>
      <c r="E511" s="64"/>
      <c r="F511" s="79"/>
      <c r="G511" s="80"/>
      <c r="H511" s="37"/>
      <c r="I511" s="63"/>
      <c r="J511" s="64"/>
      <c r="K511" s="64"/>
      <c r="L511" s="64"/>
      <c r="M511" s="82"/>
    </row>
    <row r="512" spans="1:13" s="22" customFormat="1" ht="15" customHeight="1">
      <c r="A512" s="93"/>
      <c r="B512" s="131"/>
      <c r="C512" s="38"/>
      <c r="D512" s="66"/>
      <c r="E512" s="64"/>
      <c r="F512" s="79"/>
      <c r="G512" s="80"/>
      <c r="H512" s="37"/>
      <c r="I512" s="63"/>
      <c r="J512" s="64"/>
      <c r="K512" s="64"/>
      <c r="L512" s="64"/>
      <c r="M512" s="82"/>
    </row>
    <row r="513" spans="1:13" s="22" customFormat="1" ht="15" customHeight="1">
      <c r="A513" s="93"/>
      <c r="B513" s="131"/>
      <c r="C513" s="38"/>
      <c r="D513" s="66"/>
      <c r="E513" s="64"/>
      <c r="F513" s="79"/>
      <c r="G513" s="80"/>
      <c r="H513" s="37"/>
      <c r="I513" s="63"/>
      <c r="J513" s="64"/>
      <c r="K513" s="64"/>
      <c r="L513" s="64"/>
      <c r="M513" s="82"/>
    </row>
    <row r="514" spans="1:13" s="22" customFormat="1" ht="15" customHeight="1">
      <c r="A514" s="93"/>
      <c r="B514" s="131"/>
      <c r="C514" s="38"/>
      <c r="D514" s="66"/>
      <c r="E514" s="64"/>
      <c r="F514" s="79"/>
      <c r="G514" s="80"/>
      <c r="H514" s="37"/>
      <c r="I514" s="63"/>
      <c r="J514" s="64"/>
      <c r="K514" s="64"/>
      <c r="L514" s="64"/>
      <c r="M514" s="82"/>
    </row>
    <row r="515" spans="1:13" s="22" customFormat="1" ht="15" customHeight="1">
      <c r="A515" s="93"/>
      <c r="B515" s="131"/>
      <c r="C515" s="38"/>
      <c r="D515" s="66"/>
      <c r="E515" s="64"/>
      <c r="F515" s="79"/>
      <c r="G515" s="80"/>
      <c r="H515" s="37"/>
      <c r="I515" s="63"/>
      <c r="J515" s="64"/>
      <c r="K515" s="64"/>
      <c r="L515" s="64"/>
      <c r="M515" s="82"/>
    </row>
    <row r="516" spans="1:13" s="22" customFormat="1" ht="15" customHeight="1">
      <c r="A516" s="93"/>
      <c r="B516" s="131"/>
      <c r="C516" s="38"/>
      <c r="D516" s="66"/>
      <c r="E516" s="64"/>
      <c r="F516" s="79"/>
      <c r="G516" s="80"/>
      <c r="H516" s="37"/>
      <c r="I516" s="63"/>
      <c r="J516" s="64"/>
      <c r="K516" s="64"/>
      <c r="L516" s="64"/>
      <c r="M516" s="82"/>
    </row>
    <row r="517" spans="1:13" s="22" customFormat="1" ht="15" customHeight="1">
      <c r="A517" s="93"/>
      <c r="B517" s="131"/>
      <c r="C517" s="38"/>
      <c r="D517" s="66"/>
      <c r="E517" s="64"/>
      <c r="F517" s="79"/>
      <c r="G517" s="80"/>
      <c r="H517" s="37"/>
      <c r="I517" s="63"/>
      <c r="J517" s="64"/>
      <c r="K517" s="64"/>
      <c r="L517" s="64"/>
      <c r="M517" s="82"/>
    </row>
    <row r="518" spans="1:13" s="22" customFormat="1" ht="15" customHeight="1">
      <c r="A518" s="93"/>
      <c r="B518" s="131"/>
      <c r="C518" s="38"/>
      <c r="D518" s="66"/>
      <c r="E518" s="64"/>
      <c r="F518" s="79"/>
      <c r="G518" s="80"/>
      <c r="H518" s="37"/>
      <c r="I518" s="63"/>
      <c r="J518" s="64"/>
      <c r="K518" s="64"/>
      <c r="L518" s="64"/>
      <c r="M518" s="82"/>
    </row>
    <row r="519" spans="1:13" s="22" customFormat="1" ht="15" customHeight="1">
      <c r="A519" s="93"/>
      <c r="B519" s="131"/>
      <c r="C519" s="38"/>
      <c r="D519" s="66"/>
      <c r="E519" s="64"/>
      <c r="F519" s="79"/>
      <c r="G519" s="80"/>
      <c r="H519" s="37"/>
      <c r="I519" s="63"/>
      <c r="J519" s="64"/>
      <c r="K519" s="64"/>
      <c r="L519" s="64"/>
      <c r="M519" s="82"/>
    </row>
    <row r="520" spans="1:13" s="22" customFormat="1" ht="15" customHeight="1">
      <c r="A520" s="93"/>
      <c r="B520" s="131"/>
      <c r="C520" s="38"/>
      <c r="D520" s="66"/>
      <c r="E520" s="64"/>
      <c r="F520" s="79"/>
      <c r="G520" s="80"/>
      <c r="H520" s="37"/>
      <c r="I520" s="63"/>
      <c r="J520" s="64"/>
      <c r="K520" s="64"/>
      <c r="L520" s="64"/>
      <c r="M520" s="82"/>
    </row>
    <row r="521" spans="1:13" s="22" customFormat="1" ht="15" customHeight="1">
      <c r="A521" s="93"/>
      <c r="B521" s="131"/>
      <c r="C521" s="38"/>
      <c r="D521" s="66"/>
      <c r="E521" s="64"/>
      <c r="F521" s="79"/>
      <c r="G521" s="80"/>
      <c r="H521" s="37"/>
      <c r="I521" s="63"/>
      <c r="J521" s="64"/>
      <c r="K521" s="64"/>
      <c r="L521" s="64"/>
      <c r="M521" s="82"/>
    </row>
    <row r="522" spans="1:13" s="22" customFormat="1" ht="15" customHeight="1">
      <c r="A522" s="93"/>
      <c r="B522" s="131"/>
      <c r="C522" s="38"/>
      <c r="D522" s="66"/>
      <c r="E522" s="64"/>
      <c r="F522" s="79"/>
      <c r="G522" s="80"/>
      <c r="H522" s="37"/>
      <c r="I522" s="63"/>
      <c r="J522" s="64"/>
      <c r="K522" s="64"/>
      <c r="L522" s="64"/>
      <c r="M522" s="82"/>
    </row>
    <row r="523" spans="1:13" s="22" customFormat="1" ht="15" customHeight="1">
      <c r="A523" s="93"/>
      <c r="B523" s="131"/>
      <c r="C523" s="38"/>
      <c r="D523" s="66"/>
      <c r="E523" s="64"/>
      <c r="F523" s="79"/>
      <c r="G523" s="80"/>
      <c r="H523" s="37"/>
      <c r="I523" s="63"/>
      <c r="J523" s="64"/>
      <c r="K523" s="64"/>
      <c r="L523" s="64"/>
      <c r="M523" s="82"/>
    </row>
    <row r="524" spans="1:13" s="22" customFormat="1" ht="15" customHeight="1">
      <c r="A524" s="93"/>
      <c r="B524" s="131"/>
      <c r="C524" s="38"/>
      <c r="D524" s="66"/>
      <c r="E524" s="64"/>
      <c r="F524" s="79"/>
      <c r="G524" s="80"/>
      <c r="H524" s="37"/>
      <c r="I524" s="63"/>
      <c r="J524" s="64"/>
      <c r="K524" s="64"/>
      <c r="L524" s="64"/>
      <c r="M524" s="82"/>
    </row>
    <row r="525" spans="1:13" s="22" customFormat="1" ht="15" customHeight="1">
      <c r="A525" s="93"/>
      <c r="B525" s="131"/>
      <c r="C525" s="38"/>
      <c r="D525" s="66"/>
      <c r="E525" s="64"/>
      <c r="F525" s="79"/>
      <c r="G525" s="80"/>
      <c r="H525" s="37"/>
      <c r="I525" s="63"/>
      <c r="J525" s="64"/>
      <c r="K525" s="64"/>
      <c r="L525" s="64"/>
      <c r="M525" s="82"/>
    </row>
    <row r="526" spans="1:13" s="22" customFormat="1" ht="15" customHeight="1">
      <c r="A526" s="93"/>
      <c r="B526" s="131"/>
      <c r="C526" s="38"/>
      <c r="D526" s="66"/>
      <c r="E526" s="64"/>
      <c r="F526" s="79"/>
      <c r="G526" s="80"/>
      <c r="H526" s="37"/>
      <c r="I526" s="63"/>
      <c r="J526" s="64"/>
      <c r="K526" s="64"/>
      <c r="L526" s="64"/>
      <c r="M526" s="82"/>
    </row>
    <row r="527" spans="1:13" s="22" customFormat="1" ht="15" customHeight="1">
      <c r="A527" s="93"/>
      <c r="B527" s="131"/>
      <c r="C527" s="38"/>
      <c r="D527" s="66"/>
      <c r="E527" s="64"/>
      <c r="F527" s="79"/>
      <c r="G527" s="80"/>
      <c r="H527" s="37"/>
      <c r="I527" s="63"/>
      <c r="J527" s="64"/>
      <c r="K527" s="64"/>
      <c r="L527" s="64"/>
      <c r="M527" s="82"/>
    </row>
    <row r="528" spans="1:13" s="22" customFormat="1" ht="15" customHeight="1">
      <c r="A528" s="93"/>
      <c r="B528" s="131"/>
      <c r="C528" s="38"/>
      <c r="D528" s="66"/>
      <c r="E528" s="64"/>
      <c r="F528" s="79"/>
      <c r="G528" s="80"/>
      <c r="H528" s="37"/>
      <c r="I528" s="63"/>
      <c r="J528" s="64"/>
      <c r="K528" s="64"/>
      <c r="L528" s="64"/>
      <c r="M528" s="82"/>
    </row>
    <row r="529" spans="1:15" s="22" customFormat="1" ht="15" customHeight="1">
      <c r="A529" s="93"/>
      <c r="B529" s="131"/>
      <c r="C529" s="38"/>
      <c r="D529" s="66"/>
      <c r="E529" s="64"/>
      <c r="F529" s="79"/>
      <c r="G529" s="80"/>
      <c r="H529" s="37"/>
      <c r="I529" s="63"/>
      <c r="J529" s="64"/>
      <c r="K529" s="64"/>
      <c r="L529" s="64"/>
      <c r="M529" s="82"/>
    </row>
    <row r="530" spans="1:15" s="22" customFormat="1" ht="15" customHeight="1">
      <c r="A530" s="93"/>
      <c r="B530" s="131"/>
      <c r="C530" s="38"/>
      <c r="D530" s="66"/>
      <c r="E530" s="64"/>
      <c r="F530" s="79"/>
      <c r="G530" s="80"/>
      <c r="H530" s="37"/>
      <c r="I530" s="63"/>
      <c r="J530" s="64"/>
      <c r="K530" s="64"/>
      <c r="L530" s="64"/>
      <c r="M530" s="82"/>
    </row>
    <row r="531" spans="1:15" s="22" customFormat="1" ht="15" customHeight="1">
      <c r="A531" s="93"/>
      <c r="B531" s="131"/>
      <c r="C531" s="38"/>
      <c r="D531" s="66"/>
      <c r="E531" s="64"/>
      <c r="F531" s="79"/>
      <c r="G531" s="80"/>
      <c r="H531" s="37"/>
      <c r="I531" s="63"/>
      <c r="J531" s="64"/>
      <c r="K531" s="64"/>
      <c r="L531" s="64"/>
      <c r="M531" s="82"/>
    </row>
    <row r="532" spans="1:15" s="22" customFormat="1" ht="15" customHeight="1">
      <c r="A532" s="93"/>
      <c r="B532" s="131"/>
      <c r="C532" s="38"/>
      <c r="D532" s="66"/>
      <c r="E532" s="64"/>
      <c r="F532" s="79"/>
      <c r="G532" s="80"/>
      <c r="H532" s="37"/>
      <c r="I532" s="63"/>
      <c r="J532" s="64"/>
      <c r="K532" s="64"/>
      <c r="L532" s="64"/>
      <c r="M532" s="82"/>
    </row>
    <row r="533" spans="1:15" s="22" customFormat="1" ht="15" customHeight="1">
      <c r="A533" s="93"/>
      <c r="B533" s="131"/>
      <c r="C533" s="38"/>
      <c r="D533" s="66"/>
      <c r="E533" s="64"/>
      <c r="F533" s="79"/>
      <c r="G533" s="80"/>
      <c r="H533" s="37"/>
      <c r="I533" s="63"/>
      <c r="J533" s="64"/>
      <c r="K533" s="64"/>
      <c r="L533" s="64"/>
      <c r="M533" s="82"/>
    </row>
    <row r="534" spans="1:15" ht="15" customHeight="1">
      <c r="N534" s="22"/>
      <c r="O534" s="22"/>
    </row>
    <row r="535" spans="1:15" ht="15" customHeight="1">
      <c r="N535" s="22"/>
      <c r="O535" s="22"/>
    </row>
    <row r="536" spans="1:15" ht="15" customHeight="1">
      <c r="N536" s="22"/>
      <c r="O536" s="22"/>
    </row>
    <row r="537" spans="1:15" ht="15" customHeight="1">
      <c r="N537" s="22"/>
      <c r="O537" s="22"/>
    </row>
    <row r="538" spans="1:15" s="22" customFormat="1" ht="15" customHeight="1">
      <c r="A538" s="93"/>
      <c r="B538" s="131"/>
      <c r="C538" s="38"/>
      <c r="D538" s="66"/>
      <c r="E538" s="64"/>
      <c r="F538" s="79"/>
      <c r="G538" s="80"/>
      <c r="H538" s="37"/>
      <c r="I538" s="63"/>
      <c r="J538" s="64"/>
      <c r="K538" s="64"/>
      <c r="L538" s="64"/>
      <c r="M538" s="82"/>
    </row>
    <row r="539" spans="1:15" s="22" customFormat="1" ht="15" customHeight="1">
      <c r="A539" s="93"/>
      <c r="B539" s="131"/>
      <c r="C539" s="38"/>
      <c r="D539" s="66"/>
      <c r="E539" s="64"/>
      <c r="F539" s="79"/>
      <c r="G539" s="80"/>
      <c r="H539" s="37"/>
      <c r="I539" s="63"/>
      <c r="J539" s="64"/>
      <c r="K539" s="64"/>
      <c r="L539" s="64"/>
      <c r="M539" s="82"/>
    </row>
    <row r="540" spans="1:15" s="22" customFormat="1" ht="15" customHeight="1">
      <c r="A540" s="93"/>
      <c r="B540" s="131"/>
      <c r="C540" s="38"/>
      <c r="D540" s="66"/>
      <c r="E540" s="64"/>
      <c r="F540" s="79"/>
      <c r="G540" s="80"/>
      <c r="H540" s="37"/>
      <c r="I540" s="63"/>
      <c r="J540" s="64"/>
      <c r="K540" s="64"/>
      <c r="L540" s="64"/>
      <c r="M540" s="82"/>
    </row>
    <row r="541" spans="1:15" ht="15" customHeight="1">
      <c r="N541" s="22"/>
      <c r="O541" s="22"/>
    </row>
    <row r="542" spans="1:15" s="22" customFormat="1" ht="15" customHeight="1">
      <c r="A542" s="93"/>
      <c r="B542" s="131"/>
      <c r="C542" s="38"/>
      <c r="D542" s="66"/>
      <c r="E542" s="64"/>
      <c r="F542" s="79"/>
      <c r="G542" s="80"/>
      <c r="H542" s="37"/>
      <c r="I542" s="63"/>
      <c r="J542" s="64"/>
      <c r="K542" s="64"/>
      <c r="L542" s="64"/>
      <c r="M542" s="82"/>
    </row>
    <row r="543" spans="1:15" s="22" customFormat="1" ht="15" customHeight="1">
      <c r="A543" s="93"/>
      <c r="B543" s="131"/>
      <c r="C543" s="38"/>
      <c r="D543" s="66"/>
      <c r="E543" s="64"/>
      <c r="F543" s="79"/>
      <c r="G543" s="80"/>
      <c r="H543" s="37"/>
      <c r="I543" s="63"/>
      <c r="J543" s="64"/>
      <c r="K543" s="64"/>
      <c r="L543" s="64"/>
      <c r="M543" s="82"/>
    </row>
    <row r="544" spans="1:15" s="22" customFormat="1" ht="15" customHeight="1">
      <c r="A544" s="93"/>
      <c r="B544" s="131"/>
      <c r="C544" s="38"/>
      <c r="D544" s="66"/>
      <c r="E544" s="64"/>
      <c r="F544" s="79"/>
      <c r="G544" s="80"/>
      <c r="H544" s="37"/>
      <c r="I544" s="63"/>
      <c r="J544" s="64"/>
      <c r="K544" s="64"/>
      <c r="L544" s="64"/>
      <c r="M544" s="82"/>
    </row>
    <row r="545" spans="1:15" s="22" customFormat="1" ht="15" customHeight="1">
      <c r="A545" s="93"/>
      <c r="B545" s="131"/>
      <c r="C545" s="38"/>
      <c r="D545" s="66"/>
      <c r="E545" s="64"/>
      <c r="F545" s="79"/>
      <c r="G545" s="80"/>
      <c r="H545" s="37"/>
      <c r="I545" s="63"/>
      <c r="J545" s="64"/>
      <c r="K545" s="64"/>
      <c r="L545" s="64"/>
      <c r="M545" s="82"/>
    </row>
    <row r="546" spans="1:15" s="22" customFormat="1" ht="15" customHeight="1">
      <c r="A546" s="93"/>
      <c r="B546" s="131"/>
      <c r="C546" s="38"/>
      <c r="D546" s="66"/>
      <c r="E546" s="64"/>
      <c r="F546" s="79"/>
      <c r="G546" s="80"/>
      <c r="H546" s="37"/>
      <c r="I546" s="63"/>
      <c r="J546" s="64"/>
      <c r="K546" s="64"/>
      <c r="L546" s="64"/>
      <c r="M546" s="82"/>
    </row>
    <row r="547" spans="1:15" s="22" customFormat="1" ht="15" customHeight="1">
      <c r="A547" s="93"/>
      <c r="B547" s="131"/>
      <c r="C547" s="38"/>
      <c r="D547" s="66"/>
      <c r="E547" s="64"/>
      <c r="F547" s="79"/>
      <c r="G547" s="80"/>
      <c r="H547" s="37"/>
      <c r="I547" s="63"/>
      <c r="J547" s="64"/>
      <c r="K547" s="64"/>
      <c r="L547" s="64"/>
      <c r="M547" s="82"/>
    </row>
    <row r="548" spans="1:15" s="22" customFormat="1" ht="15" customHeight="1">
      <c r="A548" s="93"/>
      <c r="B548" s="131"/>
      <c r="C548" s="38"/>
      <c r="D548" s="66"/>
      <c r="E548" s="64"/>
      <c r="F548" s="79"/>
      <c r="G548" s="80"/>
      <c r="H548" s="37"/>
      <c r="I548" s="63"/>
      <c r="J548" s="64"/>
      <c r="K548" s="64"/>
      <c r="L548" s="64"/>
      <c r="M548" s="82"/>
    </row>
    <row r="549" spans="1:15" s="22" customFormat="1" ht="15" customHeight="1">
      <c r="A549" s="93"/>
      <c r="B549" s="131"/>
      <c r="C549" s="38"/>
      <c r="D549" s="66"/>
      <c r="E549" s="64"/>
      <c r="F549" s="79"/>
      <c r="G549" s="80"/>
      <c r="H549" s="37"/>
      <c r="I549" s="63"/>
      <c r="J549" s="64"/>
      <c r="K549" s="64"/>
      <c r="L549" s="64"/>
      <c r="M549" s="82"/>
    </row>
    <row r="550" spans="1:15" s="22" customFormat="1" ht="15" customHeight="1">
      <c r="A550" s="93"/>
      <c r="B550" s="131"/>
      <c r="C550" s="38"/>
      <c r="D550" s="66"/>
      <c r="E550" s="64"/>
      <c r="F550" s="79"/>
      <c r="G550" s="80"/>
      <c r="H550" s="37"/>
      <c r="I550" s="63"/>
      <c r="J550" s="64"/>
      <c r="K550" s="64"/>
      <c r="L550" s="64"/>
      <c r="M550" s="82"/>
    </row>
    <row r="551" spans="1:15" s="22" customFormat="1" ht="15" customHeight="1">
      <c r="A551" s="93"/>
      <c r="B551" s="131"/>
      <c r="C551" s="38"/>
      <c r="D551" s="66"/>
      <c r="E551" s="64"/>
      <c r="F551" s="79"/>
      <c r="G551" s="80"/>
      <c r="H551" s="37"/>
      <c r="I551" s="63"/>
      <c r="J551" s="64"/>
      <c r="K551" s="64"/>
      <c r="L551" s="64"/>
      <c r="M551" s="82"/>
    </row>
    <row r="552" spans="1:15" s="22" customFormat="1" ht="15" customHeight="1">
      <c r="A552" s="93"/>
      <c r="B552" s="131"/>
      <c r="C552" s="38"/>
      <c r="D552" s="66"/>
      <c r="E552" s="64"/>
      <c r="F552" s="79"/>
      <c r="G552" s="80"/>
      <c r="H552" s="37"/>
      <c r="I552" s="63"/>
      <c r="J552" s="64"/>
      <c r="K552" s="64"/>
      <c r="L552" s="64"/>
      <c r="M552" s="82"/>
    </row>
    <row r="553" spans="1:15" s="22" customFormat="1" ht="15" customHeight="1">
      <c r="A553" s="93"/>
      <c r="B553" s="131"/>
      <c r="C553" s="38"/>
      <c r="D553" s="66"/>
      <c r="E553" s="64"/>
      <c r="F553" s="79"/>
      <c r="G553" s="80"/>
      <c r="H553" s="37"/>
      <c r="I553" s="63"/>
      <c r="J553" s="64"/>
      <c r="K553" s="64"/>
      <c r="L553" s="64"/>
      <c r="M553" s="82"/>
      <c r="N553" s="37"/>
      <c r="O553" s="37"/>
    </row>
    <row r="554" spans="1:15" s="22" customFormat="1" ht="15" customHeight="1">
      <c r="A554" s="93"/>
      <c r="B554" s="131"/>
      <c r="C554" s="38"/>
      <c r="D554" s="66"/>
      <c r="E554" s="64"/>
      <c r="F554" s="79"/>
      <c r="G554" s="80"/>
      <c r="H554" s="37"/>
      <c r="I554" s="63"/>
      <c r="J554" s="64"/>
      <c r="K554" s="64"/>
      <c r="L554" s="64"/>
      <c r="M554" s="82"/>
      <c r="N554" s="37"/>
      <c r="O554" s="37"/>
    </row>
    <row r="555" spans="1:15" s="22" customFormat="1" ht="15" customHeight="1">
      <c r="A555" s="93"/>
      <c r="B555" s="131"/>
      <c r="C555" s="38"/>
      <c r="D555" s="66"/>
      <c r="E555" s="64"/>
      <c r="F555" s="79"/>
      <c r="G555" s="80"/>
      <c r="H555" s="37"/>
      <c r="I555" s="63"/>
      <c r="J555" s="64"/>
      <c r="K555" s="64"/>
      <c r="L555" s="64"/>
      <c r="M555" s="82"/>
      <c r="N555" s="37"/>
      <c r="O555" s="37"/>
    </row>
    <row r="556" spans="1:15" s="22" customFormat="1" ht="15" customHeight="1">
      <c r="A556" s="93"/>
      <c r="B556" s="131"/>
      <c r="C556" s="38"/>
      <c r="D556" s="66"/>
      <c r="E556" s="64"/>
      <c r="F556" s="79"/>
      <c r="G556" s="80"/>
      <c r="H556" s="37"/>
      <c r="I556" s="63"/>
      <c r="J556" s="64"/>
      <c r="K556" s="64"/>
      <c r="L556" s="64"/>
      <c r="M556" s="82"/>
      <c r="N556" s="37"/>
      <c r="O556" s="37"/>
    </row>
    <row r="557" spans="1:15" s="22" customFormat="1" ht="15" customHeight="1">
      <c r="A557" s="93"/>
      <c r="B557" s="131"/>
      <c r="C557" s="38"/>
      <c r="D557" s="66"/>
      <c r="E557" s="64"/>
      <c r="F557" s="79"/>
      <c r="G557" s="80"/>
      <c r="H557" s="37"/>
      <c r="I557" s="63"/>
      <c r="J557" s="64"/>
      <c r="K557" s="64"/>
      <c r="L557" s="64"/>
      <c r="M557" s="82"/>
    </row>
    <row r="558" spans="1:15" s="22" customFormat="1" ht="15" customHeight="1">
      <c r="A558" s="93"/>
      <c r="B558" s="131"/>
      <c r="C558" s="38"/>
      <c r="D558" s="66"/>
      <c r="E558" s="64"/>
      <c r="F558" s="79"/>
      <c r="G558" s="80"/>
      <c r="H558" s="37"/>
      <c r="I558" s="63"/>
      <c r="J558" s="64"/>
      <c r="K558" s="64"/>
      <c r="L558" s="64"/>
      <c r="M558" s="82"/>
    </row>
    <row r="559" spans="1:15" s="22" customFormat="1" ht="15" customHeight="1">
      <c r="A559" s="93"/>
      <c r="B559" s="131"/>
      <c r="C559" s="38"/>
      <c r="D559" s="66"/>
      <c r="E559" s="64"/>
      <c r="F559" s="79"/>
      <c r="G559" s="80"/>
      <c r="H559" s="37"/>
      <c r="I559" s="63"/>
      <c r="J559" s="64"/>
      <c r="K559" s="64"/>
      <c r="L559" s="64"/>
      <c r="M559" s="82"/>
    </row>
    <row r="560" spans="1:15" ht="15" customHeight="1"/>
    <row r="561" spans="1:15" ht="15" customHeight="1">
      <c r="N561" s="22"/>
      <c r="O561" s="22"/>
    </row>
    <row r="562" spans="1:15" ht="15" customHeight="1">
      <c r="N562" s="22"/>
      <c r="O562" s="22"/>
    </row>
    <row r="563" spans="1:15" ht="15" customHeight="1">
      <c r="N563" s="22"/>
      <c r="O563" s="22"/>
    </row>
    <row r="564" spans="1:15" ht="15" customHeight="1">
      <c r="N564" s="22"/>
      <c r="O564" s="22"/>
    </row>
    <row r="565" spans="1:15" ht="15" customHeight="1">
      <c r="N565" s="22"/>
      <c r="O565" s="22"/>
    </row>
    <row r="566" spans="1:15" ht="15" customHeight="1">
      <c r="N566" s="22"/>
      <c r="O566" s="22"/>
    </row>
    <row r="567" spans="1:15" ht="15" customHeight="1">
      <c r="N567" s="22"/>
      <c r="O567" s="22"/>
    </row>
    <row r="568" spans="1:15" ht="15" customHeight="1">
      <c r="N568" s="22"/>
      <c r="O568" s="22"/>
    </row>
    <row r="569" spans="1:15" ht="15" customHeight="1">
      <c r="N569" s="22"/>
      <c r="O569" s="22"/>
    </row>
    <row r="570" spans="1:15" ht="15" customHeight="1">
      <c r="N570" s="22"/>
      <c r="O570" s="22"/>
    </row>
    <row r="571" spans="1:15" ht="15" customHeight="1">
      <c r="N571" s="22"/>
      <c r="O571" s="22"/>
    </row>
    <row r="572" spans="1:15" ht="15" customHeight="1">
      <c r="N572" s="22"/>
      <c r="O572" s="22"/>
    </row>
    <row r="573" spans="1:15" ht="15" customHeight="1">
      <c r="N573" s="22"/>
      <c r="O573" s="22"/>
    </row>
    <row r="574" spans="1:15" s="41" customFormat="1" ht="15" customHeight="1">
      <c r="A574" s="93"/>
      <c r="B574" s="131"/>
      <c r="C574" s="38"/>
      <c r="D574" s="66"/>
      <c r="E574" s="64"/>
      <c r="F574" s="79"/>
      <c r="G574" s="80"/>
      <c r="H574" s="37"/>
      <c r="I574" s="63"/>
      <c r="J574" s="64"/>
      <c r="K574" s="64"/>
      <c r="L574" s="64"/>
      <c r="M574" s="82"/>
      <c r="N574" s="22"/>
      <c r="O574" s="22"/>
    </row>
    <row r="575" spans="1:15" s="41" customFormat="1" ht="15" customHeight="1">
      <c r="A575" s="93"/>
      <c r="B575" s="131"/>
      <c r="C575" s="38"/>
      <c r="D575" s="66"/>
      <c r="E575" s="64"/>
      <c r="F575" s="79"/>
      <c r="G575" s="80"/>
      <c r="H575" s="37"/>
      <c r="I575" s="63"/>
      <c r="J575" s="64"/>
      <c r="K575" s="64"/>
      <c r="L575" s="64"/>
      <c r="M575" s="82"/>
      <c r="N575" s="22"/>
      <c r="O575" s="22"/>
    </row>
    <row r="576" spans="1:15" s="41" customFormat="1" ht="15" customHeight="1">
      <c r="A576" s="93"/>
      <c r="B576" s="131"/>
      <c r="C576" s="38"/>
      <c r="D576" s="66"/>
      <c r="E576" s="64"/>
      <c r="F576" s="79"/>
      <c r="G576" s="80"/>
      <c r="H576" s="37"/>
      <c r="I576" s="63"/>
      <c r="J576" s="64"/>
      <c r="K576" s="64"/>
      <c r="L576" s="64"/>
      <c r="M576" s="82"/>
      <c r="N576" s="22"/>
      <c r="O576" s="22"/>
    </row>
    <row r="577" spans="1:15" ht="15" customHeight="1">
      <c r="N577" s="22"/>
      <c r="O577" s="22"/>
    </row>
    <row r="578" spans="1:15" ht="15" customHeight="1">
      <c r="N578" s="22"/>
      <c r="O578" s="22"/>
    </row>
    <row r="579" spans="1:15" ht="15" customHeight="1"/>
    <row r="580" spans="1:15" s="41" customFormat="1" ht="15" customHeight="1">
      <c r="A580" s="93"/>
      <c r="B580" s="131"/>
      <c r="C580" s="38"/>
      <c r="D580" s="66"/>
      <c r="E580" s="64"/>
      <c r="F580" s="79"/>
      <c r="G580" s="80"/>
      <c r="H580" s="37"/>
      <c r="I580" s="63"/>
      <c r="J580" s="64"/>
      <c r="K580" s="64"/>
      <c r="L580" s="64"/>
      <c r="M580" s="82"/>
      <c r="N580" s="37"/>
      <c r="O580" s="37"/>
    </row>
    <row r="581" spans="1:15" s="41" customFormat="1" ht="15" customHeight="1">
      <c r="A581" s="93"/>
      <c r="B581" s="131"/>
      <c r="C581" s="38"/>
      <c r="D581" s="66"/>
      <c r="E581" s="64"/>
      <c r="F581" s="79"/>
      <c r="G581" s="80"/>
      <c r="H581" s="37"/>
      <c r="I581" s="63"/>
      <c r="J581" s="64"/>
      <c r="K581" s="64"/>
      <c r="L581" s="64"/>
      <c r="M581" s="82"/>
      <c r="N581" s="37"/>
      <c r="O581" s="37"/>
    </row>
    <row r="582" spans="1:15" s="41" customFormat="1" ht="15" customHeight="1">
      <c r="A582" s="93"/>
      <c r="B582" s="131"/>
      <c r="C582" s="38"/>
      <c r="D582" s="66"/>
      <c r="E582" s="64"/>
      <c r="F582" s="79"/>
      <c r="G582" s="80"/>
      <c r="H582" s="37"/>
      <c r="I582" s="63"/>
      <c r="J582" s="64"/>
      <c r="K582" s="64"/>
      <c r="L582" s="64"/>
      <c r="M582" s="82"/>
      <c r="N582" s="37"/>
      <c r="O582" s="37"/>
    </row>
    <row r="583" spans="1:15" ht="15" customHeight="1"/>
    <row r="584" spans="1:15" ht="15" customHeight="1"/>
    <row r="585" spans="1:15" ht="15" customHeight="1"/>
    <row r="586" spans="1:15" ht="15" customHeight="1"/>
    <row r="587" spans="1:15" ht="15" customHeight="1"/>
    <row r="588" spans="1:15" s="41" customFormat="1" ht="15" customHeight="1">
      <c r="A588" s="93"/>
      <c r="B588" s="131"/>
      <c r="C588" s="38"/>
      <c r="D588" s="66"/>
      <c r="E588" s="64"/>
      <c r="F588" s="79"/>
      <c r="G588" s="80"/>
      <c r="H588" s="37"/>
      <c r="I588" s="63"/>
      <c r="J588" s="64"/>
      <c r="K588" s="64"/>
      <c r="L588" s="64"/>
      <c r="M588" s="82"/>
      <c r="N588" s="37"/>
      <c r="O588" s="37"/>
    </row>
    <row r="589" spans="1:15" s="41" customFormat="1" ht="15" customHeight="1">
      <c r="A589" s="93"/>
      <c r="B589" s="131"/>
      <c r="C589" s="38"/>
      <c r="D589" s="66"/>
      <c r="E589" s="64"/>
      <c r="F589" s="79"/>
      <c r="G589" s="80"/>
      <c r="H589" s="37"/>
      <c r="I589" s="63"/>
      <c r="J589" s="64"/>
      <c r="K589" s="64"/>
      <c r="L589" s="64"/>
      <c r="M589" s="82"/>
      <c r="N589" s="37"/>
      <c r="O589" s="37"/>
    </row>
    <row r="590" spans="1:15" s="41" customFormat="1" ht="15" customHeight="1">
      <c r="A590" s="93"/>
      <c r="B590" s="131"/>
      <c r="C590" s="38"/>
      <c r="D590" s="66"/>
      <c r="E590" s="64"/>
      <c r="F590" s="79"/>
      <c r="G590" s="80"/>
      <c r="H590" s="37"/>
      <c r="I590" s="63"/>
      <c r="J590" s="64"/>
      <c r="K590" s="64"/>
      <c r="L590" s="64"/>
      <c r="M590" s="82"/>
      <c r="N590" s="37"/>
      <c r="O590" s="37"/>
    </row>
    <row r="591" spans="1:15" ht="15" customHeight="1"/>
    <row r="592" spans="1:15" ht="15" customHeight="1"/>
    <row r="593" spans="1:15" ht="15" customHeight="1">
      <c r="N593" s="41"/>
      <c r="O593" s="41"/>
    </row>
    <row r="594" spans="1:15" ht="15" customHeight="1">
      <c r="N594" s="41"/>
      <c r="O594" s="41"/>
    </row>
    <row r="595" spans="1:15">
      <c r="N595" s="41"/>
      <c r="O595" s="41"/>
    </row>
    <row r="596" spans="1:15" ht="15" customHeight="1"/>
    <row r="599" spans="1:15" s="41" customFormat="1">
      <c r="A599" s="93"/>
      <c r="B599" s="131"/>
      <c r="C599" s="38"/>
      <c r="D599" s="66"/>
      <c r="E599" s="64"/>
      <c r="F599" s="79"/>
      <c r="G599" s="80"/>
      <c r="H599" s="37"/>
      <c r="I599" s="63"/>
      <c r="J599" s="64"/>
      <c r="K599" s="64"/>
      <c r="L599" s="64"/>
      <c r="M599" s="82"/>
    </row>
    <row r="600" spans="1:15" s="41" customFormat="1" ht="15" customHeight="1">
      <c r="A600" s="93"/>
      <c r="B600" s="131"/>
      <c r="C600" s="38"/>
      <c r="D600" s="66"/>
      <c r="E600" s="64"/>
      <c r="F600" s="79"/>
      <c r="G600" s="80"/>
      <c r="H600" s="37"/>
      <c r="I600" s="63"/>
      <c r="J600" s="64"/>
      <c r="K600" s="64"/>
      <c r="L600" s="64"/>
      <c r="M600" s="82"/>
    </row>
    <row r="601" spans="1:15" s="41" customFormat="1">
      <c r="A601" s="93"/>
      <c r="B601" s="131"/>
      <c r="C601" s="38"/>
      <c r="D601" s="66"/>
      <c r="E601" s="64"/>
      <c r="F601" s="79"/>
      <c r="G601" s="80"/>
      <c r="H601" s="37"/>
      <c r="I601" s="63"/>
      <c r="J601" s="64"/>
      <c r="K601" s="64"/>
      <c r="L601" s="64"/>
      <c r="M601" s="82"/>
    </row>
    <row r="603" spans="1:15" s="22" customFormat="1" ht="12" customHeight="1">
      <c r="A603" s="93"/>
      <c r="B603" s="131"/>
      <c r="C603" s="38"/>
      <c r="D603" s="66"/>
      <c r="E603" s="64"/>
      <c r="F603" s="79"/>
      <c r="G603" s="80"/>
      <c r="H603" s="37"/>
      <c r="I603" s="63"/>
      <c r="J603" s="64"/>
      <c r="K603" s="64"/>
      <c r="L603" s="64"/>
      <c r="M603" s="82"/>
      <c r="N603" s="37"/>
      <c r="O603" s="37"/>
    </row>
    <row r="604" spans="1:15" ht="15" customHeight="1"/>
    <row r="605" spans="1:15" ht="15" customHeight="1"/>
    <row r="606" spans="1:15" ht="14.1" customHeight="1"/>
    <row r="607" spans="1:15">
      <c r="N607" s="41"/>
      <c r="O607" s="41"/>
    </row>
    <row r="608" spans="1:15" ht="12" customHeight="1">
      <c r="N608" s="41"/>
      <c r="O608" s="41"/>
    </row>
    <row r="609" spans="1:15" s="41" customFormat="1" ht="12" customHeight="1">
      <c r="A609" s="93"/>
      <c r="B609" s="131"/>
      <c r="C609" s="38"/>
      <c r="D609" s="66"/>
      <c r="E609" s="64"/>
      <c r="F609" s="79"/>
      <c r="G609" s="80"/>
      <c r="H609" s="37"/>
      <c r="I609" s="63"/>
      <c r="J609" s="64"/>
      <c r="K609" s="64"/>
      <c r="L609" s="64"/>
      <c r="M609" s="82"/>
    </row>
    <row r="610" spans="1:15" s="41" customFormat="1" ht="12" customHeight="1">
      <c r="A610" s="93"/>
      <c r="B610" s="131"/>
      <c r="C610" s="38"/>
      <c r="D610" s="66"/>
      <c r="E610" s="64"/>
      <c r="F610" s="79"/>
      <c r="G610" s="80"/>
      <c r="H610" s="37"/>
      <c r="I610" s="63"/>
      <c r="J610" s="64"/>
      <c r="K610" s="64"/>
      <c r="L610" s="64"/>
      <c r="M610" s="82"/>
      <c r="N610" s="37"/>
      <c r="O610" s="37"/>
    </row>
    <row r="611" spans="1:15" s="41" customFormat="1">
      <c r="A611" s="93"/>
      <c r="B611" s="131"/>
      <c r="C611" s="38"/>
      <c r="D611" s="66"/>
      <c r="E611" s="64"/>
      <c r="F611" s="79"/>
      <c r="G611" s="80"/>
      <c r="H611" s="37"/>
      <c r="I611" s="63"/>
      <c r="J611" s="64"/>
      <c r="K611" s="64"/>
      <c r="L611" s="64"/>
      <c r="M611" s="82"/>
      <c r="N611" s="37"/>
      <c r="O611" s="37"/>
    </row>
    <row r="613" spans="1:15" ht="15" customHeight="1"/>
    <row r="614" spans="1:15" s="52" customFormat="1" ht="15.6">
      <c r="A614" s="93"/>
      <c r="B614" s="131"/>
      <c r="C614" s="38"/>
      <c r="D614" s="66"/>
      <c r="E614" s="64"/>
      <c r="F614" s="79"/>
      <c r="G614" s="80"/>
      <c r="H614" s="37"/>
      <c r="I614" s="63"/>
      <c r="J614" s="64"/>
      <c r="K614" s="64"/>
      <c r="L614" s="64"/>
      <c r="M614" s="82"/>
      <c r="N614" s="37"/>
      <c r="O614" s="37"/>
    </row>
    <row r="615" spans="1:15" ht="15" customHeight="1"/>
    <row r="618" spans="1:15">
      <c r="N618" s="41"/>
      <c r="O618" s="41"/>
    </row>
    <row r="619" spans="1:15">
      <c r="N619" s="41"/>
      <c r="O619" s="41"/>
    </row>
    <row r="620" spans="1:15">
      <c r="N620" s="41"/>
      <c r="O620" s="41"/>
    </row>
    <row r="622" spans="1:15">
      <c r="N622" s="22"/>
      <c r="O622" s="22"/>
    </row>
    <row r="628" spans="14:15">
      <c r="N628" s="41"/>
      <c r="O628" s="41"/>
    </row>
    <row r="629" spans="14:15">
      <c r="N629" s="41"/>
      <c r="O629" s="41"/>
    </row>
    <row r="630" spans="14:15">
      <c r="N630" s="41"/>
      <c r="O630" s="41"/>
    </row>
    <row r="633" spans="14:15" ht="15.6">
      <c r="N633" s="52"/>
      <c r="O633" s="52"/>
    </row>
  </sheetData>
  <dataConsolidate/>
  <mergeCells count="15">
    <mergeCell ref="C38:F38"/>
    <mergeCell ref="C8:F8"/>
    <mergeCell ref="C13:F13"/>
    <mergeCell ref="C22:F22"/>
    <mergeCell ref="C27:F27"/>
    <mergeCell ref="C32:F32"/>
    <mergeCell ref="C75:F75"/>
    <mergeCell ref="C80:F80"/>
    <mergeCell ref="C87:F87"/>
    <mergeCell ref="C43:F43"/>
    <mergeCell ref="C50:F50"/>
    <mergeCell ref="C55:F55"/>
    <mergeCell ref="C60:F60"/>
    <mergeCell ref="C65:F65"/>
    <mergeCell ref="C70:F70"/>
  </mergeCells>
  <dataValidations count="1">
    <dataValidation type="list" allowBlank="1" showInputMessage="1" showErrorMessage="1" sqref="K27" xr:uid="{00000000-0002-0000-0700-000000000000}">
      <formula1>#REF!</formula1>
    </dataValidation>
  </dataValidations>
  <printOptions horizontalCentered="1"/>
  <pageMargins left="0.39370078740157483" right="0.27559055118110237" top="0.19685039370078741" bottom="0.94488188976377963" header="0" footer="0.47244094488188981"/>
  <pageSetup paperSize="9" scale="68" fitToHeight="0" orientation="portrait" r:id="rId1"/>
  <headerFooter alignWithMargins="0">
    <oddFooter xml:space="preserve">&amp;L&amp;"Arial Narrow,Regular"&amp;7&amp;F Issue 1/- &amp;D&amp;8                                    &amp;C&amp;"Arial,Regular"&amp;10&amp;P&amp;R&amp;"Arial Narrow,Regular"    &amp;"TimesNewRomanPS,Regular"    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85"/>
  <sheetViews>
    <sheetView view="pageBreakPreview" topLeftCell="A39" zoomScale="75" zoomScaleNormal="75" zoomScaleSheetLayoutView="75" workbookViewId="0">
      <selection activeCell="L56" sqref="L56"/>
    </sheetView>
  </sheetViews>
  <sheetFormatPr defaultRowHeight="15.6"/>
  <cols>
    <col min="1" max="1" width="18.59765625" customWidth="1"/>
    <col min="3" max="3" width="24.09765625" customWidth="1"/>
    <col min="4" max="6" width="9" style="485" customWidth="1"/>
    <col min="7" max="7" width="11.3984375" style="192" customWidth="1"/>
    <col min="8" max="8" width="10.69921875" style="259" bestFit="1" customWidth="1"/>
    <col min="9" max="9" width="11.59765625" bestFit="1" customWidth="1"/>
    <col min="12" max="12" width="10.69921875" bestFit="1" customWidth="1"/>
    <col min="13" max="13" width="12" customWidth="1"/>
    <col min="14" max="14" width="10.59765625" bestFit="1" customWidth="1"/>
    <col min="15" max="16" width="11.09765625" bestFit="1" customWidth="1"/>
    <col min="17" max="17" width="14.8984375" bestFit="1" customWidth="1"/>
    <col min="18" max="18" width="9.59765625" customWidth="1"/>
    <col min="21" max="21" width="18.8984375" customWidth="1"/>
    <col min="22" max="22" width="13.69921875" customWidth="1"/>
    <col min="23" max="23" width="8.19921875" bestFit="1" customWidth="1"/>
    <col min="24" max="25" width="9.3984375" bestFit="1" customWidth="1"/>
    <col min="26" max="26" width="9.09765625" bestFit="1" customWidth="1"/>
    <col min="27" max="27" width="9.3984375" bestFit="1" customWidth="1"/>
    <col min="28" max="28" width="17.8984375" bestFit="1" customWidth="1"/>
    <col min="29" max="30" width="9.3984375" bestFit="1" customWidth="1"/>
    <col min="31" max="35" width="9.09765625" bestFit="1" customWidth="1"/>
    <col min="37" max="37" width="15.19921875" customWidth="1"/>
  </cols>
  <sheetData>
    <row r="1" spans="1:22">
      <c r="A1" s="94" t="s">
        <v>0</v>
      </c>
      <c r="B1" s="128"/>
      <c r="C1" s="54"/>
      <c r="D1" s="486"/>
      <c r="E1" s="486"/>
      <c r="F1" s="486"/>
      <c r="G1" s="80"/>
      <c r="H1" s="478"/>
      <c r="I1" s="50"/>
      <c r="J1" s="47"/>
      <c r="K1" s="937" t="str">
        <f>SUMMARY!N1</f>
        <v>PROPOSED BUILDING WORKS</v>
      </c>
      <c r="L1" s="937"/>
      <c r="M1" s="937"/>
      <c r="N1" s="22"/>
      <c r="O1" s="52"/>
    </row>
    <row r="2" spans="1:22">
      <c r="A2" s="94">
        <f>SUMMARY!A2</f>
        <v>0</v>
      </c>
      <c r="B2" s="128"/>
      <c r="C2" s="54"/>
      <c r="D2" s="486"/>
      <c r="E2" s="486"/>
      <c r="F2" s="486"/>
      <c r="G2" s="80"/>
      <c r="H2" s="478"/>
      <c r="I2" s="50"/>
      <c r="J2" s="47"/>
      <c r="K2" s="47"/>
      <c r="L2" s="47"/>
      <c r="M2" s="53" t="str">
        <f>SUMMARY!N2</f>
        <v>261-263 Balwyn Road, Balwyn North</v>
      </c>
      <c r="N2" s="22"/>
      <c r="O2" s="52"/>
    </row>
    <row r="3" spans="1:22">
      <c r="A3" s="49"/>
      <c r="B3" s="128"/>
      <c r="C3" s="54"/>
      <c r="D3" s="486"/>
      <c r="E3" s="486"/>
      <c r="F3" s="486"/>
      <c r="G3" s="80"/>
      <c r="H3" s="478"/>
      <c r="I3" s="50"/>
      <c r="J3" s="47"/>
      <c r="K3" s="47"/>
      <c r="L3" s="47"/>
      <c r="M3" s="51" t="str">
        <f>SUMMARY!N3</f>
        <v>ESTIMATE - V1</v>
      </c>
      <c r="N3" s="22"/>
      <c r="O3" s="52"/>
    </row>
    <row r="4" spans="1:22">
      <c r="A4" s="102" t="s">
        <v>98</v>
      </c>
      <c r="B4" s="129" t="s">
        <v>99</v>
      </c>
      <c r="C4" s="55"/>
      <c r="D4" s="482" t="s">
        <v>100</v>
      </c>
      <c r="E4" s="482" t="s">
        <v>101</v>
      </c>
      <c r="F4" s="482" t="s">
        <v>102</v>
      </c>
      <c r="G4" s="58" t="s">
        <v>103</v>
      </c>
      <c r="H4" s="518" t="s">
        <v>104</v>
      </c>
      <c r="I4" s="59" t="s">
        <v>105</v>
      </c>
      <c r="J4" s="60" t="s">
        <v>106</v>
      </c>
      <c r="K4" s="60" t="s">
        <v>107</v>
      </c>
      <c r="L4" s="154" t="s">
        <v>108</v>
      </c>
      <c r="M4" s="154" t="s">
        <v>109</v>
      </c>
      <c r="N4" s="144" t="s">
        <v>108</v>
      </c>
      <c r="O4" s="144" t="s">
        <v>109</v>
      </c>
      <c r="P4" s="199"/>
      <c r="Q4" s="199"/>
      <c r="R4" s="199"/>
      <c r="S4" s="199"/>
      <c r="T4" s="199"/>
      <c r="U4" s="183"/>
      <c r="V4" s="206"/>
    </row>
    <row r="5" spans="1:22">
      <c r="A5" s="88">
        <v>5</v>
      </c>
      <c r="B5" s="61" t="s">
        <v>283</v>
      </c>
      <c r="C5" s="62"/>
      <c r="D5" s="483"/>
      <c r="E5" s="483"/>
      <c r="F5" s="483"/>
      <c r="G5" s="276"/>
      <c r="H5" s="519"/>
      <c r="I5" s="35"/>
      <c r="J5" s="36"/>
      <c r="K5" s="36"/>
      <c r="L5" s="155"/>
      <c r="M5" s="156"/>
      <c r="N5" s="145"/>
      <c r="O5" s="146"/>
    </row>
    <row r="6" spans="1:22">
      <c r="A6" s="91"/>
      <c r="B6" s="130"/>
      <c r="C6" s="24"/>
      <c r="D6" s="483"/>
      <c r="E6" s="483"/>
      <c r="F6" s="483"/>
      <c r="G6" s="33"/>
      <c r="H6" s="520"/>
      <c r="I6" s="17"/>
      <c r="J6" s="20"/>
      <c r="K6" s="20"/>
      <c r="L6" s="157"/>
      <c r="M6" s="158"/>
      <c r="N6" s="147"/>
      <c r="O6" s="148"/>
    </row>
    <row r="7" spans="1:22">
      <c r="A7" s="91"/>
      <c r="B7" s="131"/>
      <c r="C7" s="38" t="s">
        <v>241</v>
      </c>
      <c r="D7" s="494"/>
      <c r="E7" s="494"/>
      <c r="F7" s="494"/>
      <c r="G7" s="33"/>
      <c r="H7" s="554"/>
      <c r="I7" s="35"/>
      <c r="J7" s="36"/>
      <c r="K7" s="36"/>
      <c r="L7" s="155"/>
      <c r="M7" s="156"/>
      <c r="N7" s="145"/>
      <c r="O7" s="146"/>
    </row>
    <row r="8" spans="1:22" ht="16.2" customHeight="1">
      <c r="A8" s="88"/>
      <c r="B8" s="133"/>
      <c r="C8" s="43" t="s">
        <v>284</v>
      </c>
      <c r="D8" s="476"/>
      <c r="E8" s="487"/>
      <c r="F8" s="476"/>
      <c r="G8" s="297"/>
      <c r="H8" s="555">
        <v>900</v>
      </c>
      <c r="I8" s="35"/>
      <c r="J8" s="36"/>
      <c r="K8" s="36"/>
      <c r="L8" s="159"/>
      <c r="M8" s="160"/>
      <c r="N8" s="149"/>
      <c r="O8" s="150"/>
    </row>
    <row r="9" spans="1:22">
      <c r="A9" s="89"/>
      <c r="B9" s="133"/>
      <c r="C9" s="43" t="s">
        <v>285</v>
      </c>
      <c r="D9" s="476"/>
      <c r="E9" s="476"/>
      <c r="F9" s="476"/>
      <c r="G9" s="297"/>
      <c r="H9" s="555"/>
      <c r="I9" s="35"/>
      <c r="J9" s="36"/>
      <c r="K9" s="36"/>
      <c r="L9" s="159"/>
      <c r="M9" s="160"/>
      <c r="N9" s="149"/>
      <c r="O9" s="150"/>
    </row>
    <row r="10" spans="1:22">
      <c r="A10" s="89"/>
      <c r="B10" s="133"/>
      <c r="C10" s="43" t="s">
        <v>115</v>
      </c>
      <c r="D10" s="476"/>
      <c r="E10" s="476"/>
      <c r="F10" s="476"/>
      <c r="G10" s="297"/>
      <c r="H10" s="555"/>
      <c r="I10" s="35"/>
      <c r="J10" s="36"/>
      <c r="K10" s="36"/>
      <c r="L10" s="159"/>
      <c r="M10" s="160"/>
      <c r="N10" s="149"/>
      <c r="O10" s="150"/>
    </row>
    <row r="11" spans="1:22">
      <c r="A11" s="89"/>
      <c r="B11" s="131"/>
      <c r="C11" s="233"/>
      <c r="D11" s="476"/>
      <c r="E11" s="476"/>
      <c r="F11" s="476"/>
      <c r="G11" s="297"/>
      <c r="H11" s="555"/>
      <c r="I11" s="35"/>
      <c r="J11" s="36"/>
      <c r="K11" s="36"/>
      <c r="L11" s="155"/>
      <c r="M11" s="156"/>
      <c r="N11" s="145"/>
      <c r="O11" s="146"/>
    </row>
    <row r="12" spans="1:22">
      <c r="A12" s="88"/>
      <c r="B12" s="131"/>
      <c r="C12" s="233"/>
      <c r="D12" s="476"/>
      <c r="E12" s="476"/>
      <c r="F12" s="476"/>
      <c r="G12" s="297"/>
      <c r="H12" s="555"/>
      <c r="I12" s="35"/>
      <c r="J12" s="36"/>
      <c r="K12" s="36"/>
      <c r="L12" s="155"/>
      <c r="M12" s="156"/>
      <c r="N12" s="145"/>
      <c r="O12" s="146"/>
    </row>
    <row r="13" spans="1:22">
      <c r="A13" s="88"/>
      <c r="B13" s="131"/>
      <c r="C13" s="38"/>
      <c r="D13" s="483"/>
      <c r="E13" s="483"/>
      <c r="F13" s="483"/>
      <c r="G13" s="297"/>
      <c r="H13" s="555">
        <f>D13*E13</f>
        <v>0</v>
      </c>
      <c r="I13" s="35"/>
      <c r="J13" s="36"/>
      <c r="K13" s="36"/>
      <c r="L13" s="155"/>
      <c r="M13" s="156"/>
      <c r="N13" s="145"/>
      <c r="O13" s="146"/>
    </row>
    <row r="14" spans="1:22">
      <c r="A14" s="88"/>
      <c r="B14" s="131"/>
      <c r="C14" s="43"/>
      <c r="D14" s="486"/>
      <c r="E14" s="486"/>
      <c r="F14" s="486"/>
      <c r="G14" s="240"/>
      <c r="H14" s="555">
        <f>D14*E14</f>
        <v>0</v>
      </c>
      <c r="I14" s="35"/>
      <c r="J14" s="36"/>
      <c r="K14" s="36"/>
      <c r="L14" s="245"/>
      <c r="M14" s="156"/>
      <c r="N14" s="145"/>
      <c r="O14" s="267"/>
    </row>
    <row r="15" spans="1:22">
      <c r="A15" s="88"/>
      <c r="B15" s="133"/>
      <c r="C15" s="43" t="s">
        <v>237</v>
      </c>
      <c r="D15" s="486">
        <v>0</v>
      </c>
      <c r="E15" s="486">
        <v>0</v>
      </c>
      <c r="F15" s="486">
        <v>0</v>
      </c>
      <c r="G15" s="240"/>
      <c r="H15" s="533">
        <f>D15*E15*F15</f>
        <v>0</v>
      </c>
      <c r="I15" s="63"/>
      <c r="J15" s="36"/>
      <c r="K15" s="36"/>
      <c r="L15" s="272"/>
      <c r="M15" s="160"/>
      <c r="N15" s="149"/>
      <c r="O15" s="273"/>
    </row>
    <row r="16" spans="1:22" ht="16.2" thickBot="1">
      <c r="A16" s="89"/>
      <c r="B16" s="133"/>
      <c r="G16" s="297"/>
      <c r="H16" s="612">
        <f>SUM(H8:H15)</f>
        <v>900</v>
      </c>
      <c r="I16" s="183" t="s">
        <v>12</v>
      </c>
      <c r="J16" s="36"/>
      <c r="K16" s="36"/>
      <c r="L16" s="272"/>
      <c r="M16" s="160">
        <f>H16*L16</f>
        <v>0</v>
      </c>
      <c r="N16" s="149">
        <f>L16*1.5</f>
        <v>0</v>
      </c>
      <c r="O16" s="273">
        <f>N16*H16</f>
        <v>0</v>
      </c>
    </row>
    <row r="17" spans="1:15" ht="16.2" thickTop="1">
      <c r="A17" s="89"/>
      <c r="G17" s="297"/>
      <c r="H17" s="298"/>
      <c r="I17" s="470"/>
      <c r="L17" s="179"/>
      <c r="M17" s="182"/>
      <c r="N17" s="181"/>
      <c r="O17" s="268"/>
    </row>
    <row r="18" spans="1:15">
      <c r="A18" s="89"/>
      <c r="B18" s="133"/>
      <c r="C18" s="43"/>
      <c r="D18" s="486"/>
      <c r="E18" s="486"/>
      <c r="F18" s="486"/>
      <c r="G18" s="240"/>
      <c r="H18" s="298"/>
      <c r="I18" s="35"/>
      <c r="J18" s="36"/>
      <c r="K18" s="36"/>
      <c r="L18" s="272"/>
      <c r="M18" s="160"/>
      <c r="N18" s="149"/>
      <c r="O18" s="273"/>
    </row>
    <row r="19" spans="1:15">
      <c r="A19" s="89"/>
      <c r="B19" s="133"/>
      <c r="C19" s="942" t="s">
        <v>85</v>
      </c>
      <c r="D19" s="952"/>
      <c r="E19" s="952"/>
      <c r="F19" s="952"/>
      <c r="G19" s="33"/>
      <c r="H19" s="554"/>
      <c r="I19" s="35"/>
      <c r="L19" s="179"/>
      <c r="M19" s="182"/>
      <c r="N19" s="181"/>
      <c r="O19" s="268"/>
    </row>
    <row r="20" spans="1:15">
      <c r="A20" s="88"/>
      <c r="B20" s="133"/>
      <c r="C20" s="43" t="str">
        <f>C8</f>
        <v>Infill in Basement</v>
      </c>
      <c r="D20" s="476">
        <f>H8</f>
        <v>900</v>
      </c>
      <c r="E20" s="487"/>
      <c r="F20" s="715">
        <v>0.1</v>
      </c>
      <c r="G20" s="297"/>
      <c r="H20" s="555">
        <v>120</v>
      </c>
      <c r="I20" s="35"/>
      <c r="J20" s="36"/>
      <c r="K20" s="36"/>
      <c r="L20" s="159"/>
      <c r="M20" s="160"/>
      <c r="N20" s="149"/>
      <c r="O20" s="150"/>
    </row>
    <row r="21" spans="1:15">
      <c r="A21" s="88"/>
      <c r="B21" s="133"/>
      <c r="C21" s="43" t="str">
        <f t="shared" ref="C21:C22" si="0">C9</f>
        <v>Stacker</v>
      </c>
      <c r="D21" s="476">
        <f t="shared" ref="D21:D22" si="1">H9</f>
        <v>0</v>
      </c>
      <c r="E21" s="487"/>
      <c r="F21" s="715">
        <v>0.2</v>
      </c>
      <c r="G21" s="297"/>
      <c r="H21" s="555">
        <f>D21*F21</f>
        <v>0</v>
      </c>
      <c r="I21" s="35"/>
      <c r="J21" s="36"/>
      <c r="K21" s="36"/>
      <c r="L21" s="159"/>
      <c r="M21" s="160"/>
      <c r="N21" s="149"/>
      <c r="O21" s="150"/>
    </row>
    <row r="22" spans="1:15">
      <c r="A22" s="89"/>
      <c r="B22" s="133"/>
      <c r="C22" s="43" t="str">
        <f t="shared" si="0"/>
        <v>ramp</v>
      </c>
      <c r="D22" s="476">
        <f t="shared" si="1"/>
        <v>0</v>
      </c>
      <c r="E22" s="476"/>
      <c r="F22" s="715">
        <v>0.12</v>
      </c>
      <c r="G22" s="297"/>
      <c r="H22" s="555">
        <f>D22*F22</f>
        <v>0</v>
      </c>
      <c r="I22" s="35"/>
      <c r="J22" s="36"/>
      <c r="K22" s="36"/>
      <c r="L22" s="159"/>
      <c r="M22" s="160"/>
      <c r="N22" s="149"/>
      <c r="O22" s="150"/>
    </row>
    <row r="23" spans="1:15">
      <c r="A23" s="89"/>
      <c r="B23" s="133"/>
      <c r="C23" s="43"/>
      <c r="D23" s="476"/>
      <c r="E23" s="476"/>
      <c r="F23" s="715"/>
      <c r="G23" s="297"/>
      <c r="H23" s="555"/>
      <c r="I23" s="35"/>
      <c r="J23" s="36"/>
      <c r="K23" s="36"/>
      <c r="L23" s="159"/>
      <c r="M23" s="160"/>
      <c r="N23" s="149"/>
      <c r="O23" s="150"/>
    </row>
    <row r="24" spans="1:15">
      <c r="A24" s="89"/>
      <c r="B24" s="133"/>
      <c r="C24" s="43"/>
      <c r="D24" s="476"/>
      <c r="E24" s="476"/>
      <c r="F24" s="715"/>
      <c r="G24" s="297"/>
      <c r="H24" s="555">
        <f>D24*F24</f>
        <v>0</v>
      </c>
      <c r="I24" s="35"/>
      <c r="J24" s="36"/>
      <c r="K24" s="36"/>
      <c r="L24" s="159"/>
      <c r="M24" s="160"/>
      <c r="N24" s="149"/>
      <c r="O24" s="150"/>
    </row>
    <row r="25" spans="1:15">
      <c r="A25" s="89"/>
      <c r="B25" s="133"/>
      <c r="C25" s="43"/>
      <c r="D25" s="476"/>
      <c r="E25" s="476"/>
      <c r="F25" s="715"/>
      <c r="G25" s="297"/>
      <c r="H25" s="555">
        <f>D25*E25*F25</f>
        <v>0</v>
      </c>
      <c r="I25" s="35"/>
      <c r="J25" s="36"/>
      <c r="K25" s="36"/>
      <c r="L25" s="159"/>
      <c r="M25" s="160"/>
      <c r="N25" s="149"/>
      <c r="O25" s="150"/>
    </row>
    <row r="26" spans="1:15">
      <c r="A26" s="89"/>
      <c r="B26" s="131"/>
      <c r="C26" s="233"/>
      <c r="D26" s="476"/>
      <c r="E26" s="476"/>
      <c r="F26" s="715"/>
      <c r="G26" s="297"/>
      <c r="H26" s="555">
        <f>D26*F26</f>
        <v>0</v>
      </c>
      <c r="I26" s="35"/>
      <c r="J26" s="36"/>
      <c r="K26" s="36"/>
      <c r="L26" s="155"/>
      <c r="M26" s="156"/>
      <c r="N26" s="145"/>
      <c r="O26" s="146"/>
    </row>
    <row r="27" spans="1:15">
      <c r="A27" s="89"/>
      <c r="B27" s="131"/>
      <c r="C27" s="233"/>
      <c r="D27" s="476"/>
      <c r="E27" s="476"/>
      <c r="F27" s="715"/>
      <c r="G27" s="297"/>
      <c r="H27" s="555">
        <f>D27*E27*F27</f>
        <v>0</v>
      </c>
      <c r="I27" s="35"/>
      <c r="J27" s="36"/>
      <c r="K27" s="36"/>
      <c r="L27" s="155"/>
      <c r="M27" s="156"/>
      <c r="N27" s="145"/>
      <c r="O27" s="146"/>
    </row>
    <row r="28" spans="1:15" ht="15.45" customHeight="1">
      <c r="A28" s="88"/>
      <c r="B28" s="131"/>
      <c r="C28" s="233"/>
      <c r="D28" s="476"/>
      <c r="E28" s="476"/>
      <c r="F28" s="715"/>
      <c r="G28" s="297"/>
      <c r="H28" s="555">
        <f>D28*F28</f>
        <v>0</v>
      </c>
      <c r="I28" s="35"/>
      <c r="J28" s="36">
        <f>SUM(J11:J24)-J18</f>
        <v>0</v>
      </c>
      <c r="K28" s="36"/>
      <c r="L28" s="155"/>
      <c r="M28" s="156"/>
      <c r="N28" s="145"/>
      <c r="O28" s="146"/>
    </row>
    <row r="29" spans="1:15" s="41" customFormat="1" ht="15" customHeight="1">
      <c r="A29" s="89"/>
      <c r="B29" s="133"/>
      <c r="C29" s="43"/>
      <c r="D29" s="487"/>
      <c r="E29" s="476"/>
      <c r="F29" s="726"/>
      <c r="G29" s="33"/>
      <c r="H29" s="533">
        <f>D29*F29</f>
        <v>0</v>
      </c>
      <c r="J29" s="36"/>
      <c r="K29"/>
      <c r="L29" s="245"/>
      <c r="M29" s="156"/>
      <c r="N29" s="145"/>
      <c r="O29" s="267"/>
    </row>
    <row r="30" spans="1:15" s="41" customFormat="1" ht="15" customHeight="1" thickBot="1">
      <c r="A30" s="89"/>
      <c r="B30" s="133"/>
      <c r="C30" s="43" t="s">
        <v>237</v>
      </c>
      <c r="D30" s="486"/>
      <c r="E30" s="483"/>
      <c r="F30" s="483"/>
      <c r="G30" s="33"/>
      <c r="H30" s="613">
        <f>SUM(H20:H29)</f>
        <v>120</v>
      </c>
      <c r="I30" s="35" t="s">
        <v>10</v>
      </c>
      <c r="J30" s="36"/>
      <c r="K30" s="242" t="s">
        <v>91</v>
      </c>
      <c r="L30" s="245">
        <f>VLOOKUP(K30,Costings!$A$49:$B$59,2)</f>
        <v>158</v>
      </c>
      <c r="M30" s="156">
        <f>L30*H30</f>
        <v>18960</v>
      </c>
      <c r="N30" s="145">
        <f>L30*1.5</f>
        <v>237</v>
      </c>
      <c r="O30" s="267">
        <f>N30*H30</f>
        <v>28440</v>
      </c>
    </row>
    <row r="31" spans="1:15" s="41" customFormat="1" ht="15" customHeight="1">
      <c r="A31" s="89"/>
      <c r="B31" s="133"/>
      <c r="C31" s="43"/>
      <c r="D31" s="486"/>
      <c r="E31" s="483"/>
      <c r="F31" s="483"/>
      <c r="G31" s="33"/>
      <c r="H31" s="533"/>
      <c r="I31" s="35"/>
      <c r="J31" s="36"/>
      <c r="K31" s="36"/>
      <c r="L31" s="272"/>
      <c r="M31" s="156"/>
      <c r="N31" s="145"/>
      <c r="O31" s="267"/>
    </row>
    <row r="32" spans="1:15" s="37" customFormat="1" ht="15" customHeight="1">
      <c r="A32" s="89"/>
      <c r="B32" s="133"/>
      <c r="C32" s="43"/>
      <c r="D32" s="486"/>
      <c r="E32" s="483"/>
      <c r="F32" s="483"/>
      <c r="G32" s="33"/>
      <c r="H32" s="533"/>
      <c r="I32" s="35"/>
      <c r="J32" s="36"/>
      <c r="K32" s="36"/>
      <c r="L32" s="272"/>
      <c r="M32" s="156"/>
      <c r="N32" s="145"/>
      <c r="O32" s="267"/>
    </row>
    <row r="33" spans="1:15" s="37" customFormat="1" ht="15" customHeight="1">
      <c r="A33" s="88"/>
      <c r="B33" s="131"/>
      <c r="C33" s="942" t="s">
        <v>251</v>
      </c>
      <c r="D33" s="952"/>
      <c r="E33" s="952"/>
      <c r="F33" s="952"/>
      <c r="G33" s="33" t="s">
        <v>12</v>
      </c>
      <c r="H33" s="554">
        <f>H16</f>
        <v>900</v>
      </c>
      <c r="I33" s="35"/>
      <c r="J33" s="36"/>
      <c r="K33" s="36"/>
      <c r="L33" s="461">
        <v>5</v>
      </c>
      <c r="M33" s="156">
        <f>L33*H33</f>
        <v>4500</v>
      </c>
      <c r="N33" s="145">
        <f>L33*1.5</f>
        <v>7.5</v>
      </c>
      <c r="O33" s="267">
        <f>N33*H33</f>
        <v>6750</v>
      </c>
    </row>
    <row r="34" spans="1:15" s="41" customFormat="1" ht="15" customHeight="1">
      <c r="A34" s="89"/>
      <c r="B34" s="133"/>
      <c r="C34" s="43"/>
      <c r="D34" s="509"/>
      <c r="E34" s="483"/>
      <c r="F34" s="483"/>
      <c r="G34" s="33"/>
      <c r="H34" s="533">
        <f>D34</f>
        <v>0</v>
      </c>
      <c r="I34" s="35"/>
      <c r="J34" s="36"/>
      <c r="K34" s="36"/>
      <c r="L34" s="461"/>
      <c r="M34" s="156"/>
      <c r="N34" s="145"/>
      <c r="O34" s="267"/>
    </row>
    <row r="35" spans="1:15" s="41" customFormat="1" ht="15" customHeight="1">
      <c r="A35" s="89"/>
      <c r="B35" s="133"/>
      <c r="C35" s="43" t="s">
        <v>237</v>
      </c>
      <c r="D35" s="483"/>
      <c r="E35" s="483"/>
      <c r="F35" s="483"/>
      <c r="G35" s="33"/>
      <c r="H35" s="533">
        <v>0</v>
      </c>
      <c r="I35" s="35"/>
      <c r="J35" s="36"/>
      <c r="K35" s="36"/>
      <c r="L35" s="461"/>
      <c r="M35" s="156"/>
      <c r="N35" s="145"/>
      <c r="O35" s="267"/>
    </row>
    <row r="36" spans="1:15" s="41" customFormat="1" ht="15" customHeight="1" thickBot="1">
      <c r="A36" s="89"/>
      <c r="B36" s="133"/>
      <c r="C36" s="43"/>
      <c r="D36" s="483"/>
      <c r="E36" s="483"/>
      <c r="F36" s="483"/>
      <c r="G36" s="33"/>
      <c r="H36" s="556"/>
      <c r="I36" s="35"/>
      <c r="J36" s="36"/>
      <c r="K36" s="36"/>
      <c r="L36" s="461"/>
      <c r="M36" s="156"/>
      <c r="N36" s="145"/>
      <c r="O36" s="267"/>
    </row>
    <row r="37" spans="1:15" s="37" customFormat="1" ht="15" customHeight="1" thickTop="1">
      <c r="A37" s="88"/>
      <c r="B37" s="131"/>
      <c r="C37" s="38"/>
      <c r="D37" s="483"/>
      <c r="E37" s="483"/>
      <c r="F37" s="483"/>
      <c r="G37" s="33"/>
      <c r="H37" s="520"/>
      <c r="I37" s="35"/>
      <c r="J37" s="36"/>
      <c r="K37" s="36"/>
      <c r="L37" s="462"/>
      <c r="M37" s="156"/>
      <c r="N37" s="145"/>
      <c r="O37" s="267"/>
    </row>
    <row r="38" spans="1:15" s="37" customFormat="1" ht="19.95" customHeight="1">
      <c r="A38" s="88"/>
      <c r="B38" s="131"/>
      <c r="C38" s="942" t="s">
        <v>252</v>
      </c>
      <c r="D38" s="952"/>
      <c r="E38" s="952"/>
      <c r="F38" s="952"/>
      <c r="G38" s="33" t="s">
        <v>12</v>
      </c>
      <c r="H38" s="554">
        <v>910</v>
      </c>
      <c r="I38" s="35"/>
      <c r="J38" s="36"/>
      <c r="K38" s="36"/>
      <c r="L38" s="462">
        <v>4</v>
      </c>
      <c r="M38" s="156">
        <f>L38*H38</f>
        <v>3640</v>
      </c>
      <c r="N38" s="145">
        <f>L38*1.5</f>
        <v>6</v>
      </c>
      <c r="O38" s="267">
        <f>N38*H38</f>
        <v>5460</v>
      </c>
    </row>
    <row r="39" spans="1:15" s="41" customFormat="1" ht="15" customHeight="1">
      <c r="A39" s="89"/>
      <c r="B39" s="133"/>
      <c r="C39" s="43"/>
      <c r="D39" s="509"/>
      <c r="E39" s="483"/>
      <c r="F39" s="483"/>
      <c r="G39" s="33"/>
      <c r="H39" s="533"/>
      <c r="I39" s="35"/>
      <c r="J39" s="36"/>
      <c r="K39" s="36"/>
      <c r="L39" s="461"/>
      <c r="M39" s="156"/>
      <c r="N39" s="145"/>
      <c r="O39" s="267"/>
    </row>
    <row r="40" spans="1:15" s="41" customFormat="1" ht="15" customHeight="1">
      <c r="A40" s="89"/>
      <c r="B40" s="133"/>
      <c r="C40" s="43" t="s">
        <v>237</v>
      </c>
      <c r="D40" s="483"/>
      <c r="E40" s="483"/>
      <c r="F40" s="483"/>
      <c r="G40" s="33"/>
      <c r="H40" s="533">
        <v>0</v>
      </c>
      <c r="I40" s="35"/>
      <c r="J40" s="36"/>
      <c r="K40" s="36"/>
      <c r="L40" s="461"/>
      <c r="M40" s="156"/>
      <c r="N40" s="145"/>
      <c r="O40" s="267"/>
    </row>
    <row r="41" spans="1:15" s="41" customFormat="1" ht="15" customHeight="1">
      <c r="A41" s="89"/>
      <c r="B41" s="133"/>
      <c r="C41" s="43"/>
      <c r="D41" s="483"/>
      <c r="E41" s="483"/>
      <c r="F41" s="483"/>
      <c r="G41" s="33"/>
      <c r="H41" s="533"/>
      <c r="I41" s="35"/>
      <c r="J41" s="36"/>
      <c r="K41" s="36"/>
      <c r="L41" s="461"/>
      <c r="M41" s="156"/>
      <c r="N41" s="145"/>
      <c r="O41" s="267"/>
    </row>
    <row r="42" spans="1:15" s="41" customFormat="1" ht="15" customHeight="1" thickBot="1">
      <c r="A42" s="89"/>
      <c r="B42" s="133"/>
      <c r="C42" s="43"/>
      <c r="D42" s="483"/>
      <c r="E42" s="483"/>
      <c r="F42" s="483"/>
      <c r="G42" s="33"/>
      <c r="H42" s="556"/>
      <c r="I42" s="35"/>
      <c r="J42" s="36"/>
      <c r="K42" s="36"/>
      <c r="L42" s="461"/>
      <c r="M42" s="156"/>
      <c r="N42" s="145"/>
      <c r="O42" s="267"/>
    </row>
    <row r="43" spans="1:15" s="41" customFormat="1" ht="15" customHeight="1" thickTop="1">
      <c r="A43" s="89"/>
      <c r="B43" s="133"/>
      <c r="C43" s="43"/>
      <c r="D43" s="483"/>
      <c r="E43" s="483"/>
      <c r="F43" s="483"/>
      <c r="G43" s="33"/>
      <c r="H43" s="520"/>
      <c r="I43" s="35"/>
      <c r="J43" s="36"/>
      <c r="K43" s="36"/>
      <c r="L43" s="461"/>
      <c r="M43" s="156"/>
      <c r="N43" s="145"/>
      <c r="O43" s="267"/>
    </row>
    <row r="44" spans="1:15" s="41" customFormat="1" ht="15" customHeight="1">
      <c r="A44" s="88"/>
      <c r="B44" s="133"/>
      <c r="C44" s="43" t="str">
        <f>C20</f>
        <v>Infill in Basement</v>
      </c>
      <c r="D44" s="476"/>
      <c r="E44" s="487"/>
      <c r="F44" s="476"/>
      <c r="G44" s="297">
        <v>1</v>
      </c>
      <c r="H44" s="555">
        <f>H8</f>
        <v>900</v>
      </c>
      <c r="I44" s="35"/>
      <c r="J44" s="36"/>
      <c r="K44" s="469" t="s">
        <v>56</v>
      </c>
      <c r="L44" s="462">
        <f>VLOOKUP(K44,Costings!$A$13:$D$26,4,FALSE)</f>
        <v>7.1999999999999993</v>
      </c>
      <c r="M44" s="156">
        <f>G44*H44*L44</f>
        <v>6479.9999999999991</v>
      </c>
      <c r="N44" s="145">
        <f>L44*1.5</f>
        <v>10.799999999999999</v>
      </c>
      <c r="O44" s="267">
        <f>N44*G44*H44</f>
        <v>9719.9999999999982</v>
      </c>
    </row>
    <row r="45" spans="1:15" s="41" customFormat="1" ht="15" customHeight="1">
      <c r="A45" s="89"/>
      <c r="B45" s="133"/>
      <c r="C45" s="43" t="str">
        <f t="shared" ref="C45:C46" si="2">C21</f>
        <v>Stacker</v>
      </c>
      <c r="D45" s="476"/>
      <c r="E45" s="476"/>
      <c r="F45" s="476"/>
      <c r="G45" s="297">
        <v>2</v>
      </c>
      <c r="H45" s="555">
        <f>H9</f>
        <v>0</v>
      </c>
      <c r="I45" s="35"/>
      <c r="J45" s="36"/>
      <c r="K45" s="469" t="s">
        <v>55</v>
      </c>
      <c r="L45" s="462">
        <f>VLOOKUP(K45,Costings!$A$13:$D$26,4,FALSE)</f>
        <v>5.8</v>
      </c>
      <c r="M45" s="156">
        <f>G45*H45*L45</f>
        <v>0</v>
      </c>
      <c r="N45" s="145">
        <f>L45*1.5</f>
        <v>8.6999999999999993</v>
      </c>
      <c r="O45" s="267">
        <f>N45*G45*H45</f>
        <v>0</v>
      </c>
    </row>
    <row r="46" spans="1:15" s="37" customFormat="1" ht="15" customHeight="1">
      <c r="A46" s="89"/>
      <c r="B46" s="133"/>
      <c r="C46" s="43" t="str">
        <f t="shared" si="2"/>
        <v>ramp</v>
      </c>
      <c r="D46" s="476"/>
      <c r="E46" s="476"/>
      <c r="F46" s="476"/>
      <c r="G46" s="297">
        <v>1</v>
      </c>
      <c r="H46" s="555">
        <f>H10</f>
        <v>0</v>
      </c>
      <c r="I46" s="35"/>
      <c r="J46" s="36"/>
      <c r="K46" s="469" t="s">
        <v>55</v>
      </c>
      <c r="L46" s="462">
        <f>VLOOKUP(K46,Costings!$A$13:$D$26,4,FALSE)</f>
        <v>5.8</v>
      </c>
      <c r="M46" s="156">
        <f>G46*H46*L46</f>
        <v>0</v>
      </c>
      <c r="N46" s="145">
        <f>L46*1.5</f>
        <v>8.6999999999999993</v>
      </c>
      <c r="O46" s="267">
        <f>N46*G46*H46</f>
        <v>0</v>
      </c>
    </row>
    <row r="47" spans="1:15" s="37" customFormat="1" ht="15" customHeight="1">
      <c r="A47" s="89"/>
      <c r="B47" s="131"/>
      <c r="C47" s="233"/>
      <c r="D47" s="476"/>
      <c r="E47" s="476"/>
      <c r="F47" s="476"/>
      <c r="G47" s="297">
        <v>2</v>
      </c>
      <c r="H47" s="555">
        <f>H11</f>
        <v>0</v>
      </c>
      <c r="I47" s="35"/>
      <c r="J47" s="36"/>
      <c r="K47" s="469" t="s">
        <v>61</v>
      </c>
      <c r="L47" s="462">
        <f>VLOOKUP(K47,Costings!$A$13:$D$26,4,FALSE)</f>
        <v>10.5</v>
      </c>
      <c r="M47" s="156">
        <f>G47*H47*L47</f>
        <v>0</v>
      </c>
      <c r="N47" s="145">
        <f>L47*1.5</f>
        <v>15.75</v>
      </c>
      <c r="O47" s="267">
        <f>N47*G47*H47</f>
        <v>0</v>
      </c>
    </row>
    <row r="48" spans="1:15" s="37" customFormat="1" ht="15" customHeight="1">
      <c r="A48" s="88"/>
      <c r="B48" s="131"/>
      <c r="C48" s="233"/>
      <c r="D48" s="476"/>
      <c r="E48" s="476"/>
      <c r="F48" s="476"/>
      <c r="G48" s="297">
        <v>1</v>
      </c>
      <c r="H48" s="555">
        <f>H12</f>
        <v>0</v>
      </c>
      <c r="I48" s="35"/>
      <c r="J48" s="36"/>
      <c r="K48" s="469" t="s">
        <v>61</v>
      </c>
      <c r="L48" s="462">
        <f>VLOOKUP(K48,Costings!$A$13:$D$26,4,FALSE)</f>
        <v>10.5</v>
      </c>
      <c r="M48" s="156">
        <f>G48*H48*L48</f>
        <v>0</v>
      </c>
      <c r="N48" s="145">
        <f>L48*1.5</f>
        <v>15.75</v>
      </c>
      <c r="O48" s="267">
        <f>N48*G48*H48</f>
        <v>0</v>
      </c>
    </row>
    <row r="49" spans="1:15" s="37" customFormat="1" ht="15" customHeight="1">
      <c r="A49" s="88"/>
      <c r="B49" s="131"/>
      <c r="C49" s="233"/>
      <c r="D49" s="483"/>
      <c r="E49" s="483"/>
      <c r="F49" s="483"/>
      <c r="G49" s="297"/>
      <c r="H49" s="555"/>
      <c r="I49" s="35"/>
      <c r="J49" s="36"/>
      <c r="K49" s="36"/>
      <c r="L49" s="272"/>
      <c r="M49" s="160"/>
      <c r="N49" s="396"/>
      <c r="O49" s="146"/>
    </row>
    <row r="50" spans="1:15" s="37" customFormat="1" ht="15" customHeight="1">
      <c r="A50" s="88"/>
      <c r="B50" s="131"/>
      <c r="C50" s="233"/>
      <c r="D50" s="483"/>
      <c r="E50" s="483"/>
      <c r="F50" s="483"/>
      <c r="G50" s="297"/>
      <c r="H50" s="555"/>
      <c r="I50" s="35"/>
      <c r="J50" s="36"/>
      <c r="K50" s="36"/>
      <c r="L50" s="272"/>
      <c r="M50" s="160"/>
      <c r="N50" s="396"/>
      <c r="O50" s="146"/>
    </row>
    <row r="51" spans="1:15" s="41" customFormat="1" ht="15" customHeight="1">
      <c r="A51" s="88"/>
      <c r="B51" s="131"/>
      <c r="C51" s="942" t="s">
        <v>253</v>
      </c>
      <c r="D51" s="952"/>
      <c r="E51" s="952"/>
      <c r="F51" s="952"/>
      <c r="G51" s="33" t="s">
        <v>12</v>
      </c>
      <c r="H51" s="554">
        <v>0</v>
      </c>
      <c r="I51" s="35"/>
      <c r="J51" s="36"/>
      <c r="K51" s="36"/>
      <c r="L51" s="155">
        <v>10</v>
      </c>
      <c r="M51" s="156">
        <f>H51*L51</f>
        <v>0</v>
      </c>
      <c r="N51" s="396">
        <f>L51*1.5</f>
        <v>15</v>
      </c>
      <c r="O51" s="146">
        <f>N51*H51</f>
        <v>0</v>
      </c>
    </row>
    <row r="52" spans="1:15" s="41" customFormat="1" ht="15" customHeight="1">
      <c r="A52" s="89"/>
      <c r="B52" s="133"/>
      <c r="C52" s="43"/>
      <c r="D52" s="509"/>
      <c r="E52" s="483"/>
      <c r="F52" s="486"/>
      <c r="G52" s="33"/>
      <c r="H52" s="533"/>
      <c r="I52" s="35"/>
      <c r="J52" s="36"/>
      <c r="K52" s="36"/>
      <c r="L52" s="159"/>
      <c r="M52" s="160"/>
      <c r="N52" s="396"/>
      <c r="O52" s="146"/>
    </row>
    <row r="53" spans="1:15" s="41" customFormat="1" ht="15" customHeight="1">
      <c r="A53" s="88"/>
      <c r="B53" s="131"/>
      <c r="C53" s="38"/>
      <c r="D53" s="483"/>
      <c r="E53" s="483"/>
      <c r="F53" s="483"/>
      <c r="G53" s="33"/>
      <c r="H53" s="520"/>
      <c r="I53" s="35"/>
      <c r="J53" s="36"/>
      <c r="K53" s="36"/>
      <c r="L53" s="155"/>
      <c r="M53" s="156"/>
      <c r="N53" s="147"/>
      <c r="O53" s="148"/>
    </row>
    <row r="54" spans="1:15" s="37" customFormat="1" ht="15" customHeight="1">
      <c r="A54" s="88"/>
      <c r="B54" s="131"/>
      <c r="C54" s="38"/>
      <c r="D54" s="483"/>
      <c r="E54" s="483"/>
      <c r="F54" s="483"/>
      <c r="G54" s="33"/>
      <c r="H54" s="520"/>
      <c r="I54" s="35"/>
      <c r="J54" s="36"/>
      <c r="K54" s="36"/>
      <c r="L54" s="155"/>
      <c r="M54" s="156"/>
      <c r="N54" s="147"/>
      <c r="O54" s="148"/>
    </row>
    <row r="55" spans="1:15" s="37" customFormat="1" ht="15" customHeight="1">
      <c r="A55" s="88"/>
      <c r="B55" s="131"/>
      <c r="C55" s="942" t="s">
        <v>256</v>
      </c>
      <c r="D55" s="952"/>
      <c r="E55" s="952"/>
      <c r="F55" s="952"/>
      <c r="G55" s="33" t="s">
        <v>11</v>
      </c>
      <c r="H55" s="554">
        <v>150</v>
      </c>
      <c r="I55" s="35"/>
      <c r="J55" s="36"/>
      <c r="K55" s="36"/>
      <c r="L55" s="155">
        <v>52.75</v>
      </c>
      <c r="M55" s="156">
        <f>H55*L55</f>
        <v>7912.5</v>
      </c>
      <c r="N55" s="147">
        <f>L55*1.5</f>
        <v>79.125</v>
      </c>
      <c r="O55" s="148">
        <f>N55*H55</f>
        <v>11868.75</v>
      </c>
    </row>
    <row r="56" spans="1:15" s="41" customFormat="1" ht="15" customHeight="1">
      <c r="A56" s="89"/>
      <c r="B56" s="133"/>
      <c r="C56" s="43"/>
      <c r="D56" s="483"/>
      <c r="E56" s="483"/>
      <c r="F56" s="486"/>
      <c r="G56" s="33"/>
      <c r="H56" s="533"/>
      <c r="I56" s="35"/>
      <c r="J56" s="36"/>
      <c r="K56" s="36"/>
      <c r="L56" s="159"/>
      <c r="M56" s="160"/>
      <c r="N56" s="147"/>
      <c r="O56" s="148"/>
    </row>
    <row r="57" spans="1:15" s="41" customFormat="1" ht="15" customHeight="1">
      <c r="A57" s="89"/>
      <c r="B57" s="133"/>
      <c r="C57" s="43" t="s">
        <v>237</v>
      </c>
      <c r="D57" s="483"/>
      <c r="E57" s="483"/>
      <c r="F57" s="483"/>
      <c r="G57" s="33"/>
      <c r="H57" s="533"/>
      <c r="I57" s="35"/>
      <c r="J57" s="36"/>
      <c r="K57" s="36"/>
      <c r="L57" s="159"/>
      <c r="M57" s="160"/>
      <c r="N57" s="147"/>
      <c r="O57" s="148"/>
    </row>
    <row r="58" spans="1:15" s="41" customFormat="1" ht="15" customHeight="1" thickBot="1">
      <c r="A58" s="89"/>
      <c r="B58" s="133"/>
      <c r="C58" s="43"/>
      <c r="D58" s="483"/>
      <c r="E58" s="483"/>
      <c r="F58" s="483"/>
      <c r="G58" s="33"/>
      <c r="H58" s="556"/>
      <c r="I58" s="35"/>
      <c r="J58" s="36"/>
      <c r="K58" s="36"/>
      <c r="L58" s="159"/>
      <c r="M58" s="160"/>
      <c r="N58" s="147"/>
      <c r="O58" s="148"/>
    </row>
    <row r="59" spans="1:15" s="37" customFormat="1" ht="15" customHeight="1" thickTop="1">
      <c r="A59" s="88"/>
      <c r="B59" s="131"/>
      <c r="C59" s="38"/>
      <c r="D59" s="483"/>
      <c r="E59" s="483"/>
      <c r="F59" s="483"/>
      <c r="G59" s="33"/>
      <c r="H59" s="520"/>
      <c r="I59" s="35"/>
      <c r="J59" s="36"/>
      <c r="K59" s="36"/>
      <c r="L59" s="155"/>
      <c r="M59" s="156"/>
      <c r="N59" s="147"/>
      <c r="O59" s="148"/>
    </row>
    <row r="60" spans="1:15" s="37" customFormat="1" ht="15" customHeight="1">
      <c r="A60" s="88"/>
      <c r="B60" s="131"/>
      <c r="C60" s="942" t="s">
        <v>257</v>
      </c>
      <c r="D60" s="952"/>
      <c r="E60" s="952"/>
      <c r="F60" s="952"/>
      <c r="G60" s="33" t="s">
        <v>11</v>
      </c>
      <c r="H60" s="713">
        <v>250</v>
      </c>
      <c r="I60" s="35"/>
      <c r="J60" s="36"/>
      <c r="K60" s="36"/>
      <c r="L60" s="155">
        <v>4</v>
      </c>
      <c r="M60" s="156">
        <f>H60*L60</f>
        <v>1000</v>
      </c>
      <c r="N60" s="147">
        <f>L60*1.5</f>
        <v>6</v>
      </c>
      <c r="O60" s="148">
        <f>N60*H60</f>
        <v>1500</v>
      </c>
    </row>
    <row r="61" spans="1:15" s="41" customFormat="1" ht="15" customHeight="1">
      <c r="A61" s="89"/>
      <c r="B61" s="133"/>
      <c r="C61" s="43"/>
      <c r="D61" s="483"/>
      <c r="E61" s="483"/>
      <c r="F61" s="486"/>
      <c r="G61" s="33"/>
      <c r="H61" s="533"/>
      <c r="I61" s="35"/>
      <c r="J61" s="36"/>
      <c r="K61" s="36"/>
      <c r="L61" s="159"/>
      <c r="M61" s="160"/>
      <c r="N61" s="147"/>
      <c r="O61" s="148"/>
    </row>
    <row r="62" spans="1:15" s="41" customFormat="1" ht="15" customHeight="1">
      <c r="A62" s="89"/>
      <c r="B62" s="133"/>
      <c r="C62" s="43"/>
      <c r="D62" s="483"/>
      <c r="E62" s="483"/>
      <c r="F62" s="486"/>
      <c r="G62" s="33"/>
      <c r="H62" s="533"/>
      <c r="I62" s="35"/>
      <c r="J62" s="36"/>
      <c r="K62" s="36"/>
      <c r="L62" s="159"/>
      <c r="M62" s="160"/>
      <c r="N62" s="147"/>
      <c r="O62" s="148"/>
    </row>
    <row r="63" spans="1:15" s="41" customFormat="1" ht="15" customHeight="1">
      <c r="A63" s="89"/>
      <c r="B63" s="133"/>
      <c r="C63" s="43"/>
      <c r="D63" s="483"/>
      <c r="E63" s="483"/>
      <c r="F63" s="486"/>
      <c r="G63" s="33"/>
      <c r="H63" s="533"/>
      <c r="I63" s="35"/>
      <c r="J63" s="36"/>
      <c r="K63" s="36"/>
      <c r="L63" s="159"/>
      <c r="M63" s="160"/>
      <c r="N63" s="147"/>
      <c r="O63" s="148"/>
    </row>
    <row r="64" spans="1:15" s="41" customFormat="1" ht="15" customHeight="1">
      <c r="A64" s="89"/>
      <c r="B64" s="133"/>
      <c r="C64" s="43"/>
      <c r="D64" s="483"/>
      <c r="E64" s="483"/>
      <c r="F64" s="486"/>
      <c r="G64" s="33"/>
      <c r="H64" s="533"/>
      <c r="I64" s="35"/>
      <c r="J64" s="36"/>
      <c r="K64" s="36"/>
      <c r="L64" s="159"/>
      <c r="M64" s="160"/>
      <c r="N64" s="147"/>
      <c r="O64" s="148"/>
    </row>
    <row r="65" spans="1:15" s="41" customFormat="1" ht="15" customHeight="1">
      <c r="A65" s="89"/>
      <c r="B65" s="133"/>
      <c r="C65" s="43"/>
      <c r="D65" s="483"/>
      <c r="E65" s="483"/>
      <c r="F65" s="486"/>
      <c r="G65" s="33"/>
      <c r="H65" s="533"/>
      <c r="I65" s="35"/>
      <c r="J65" s="36"/>
      <c r="K65" s="36"/>
      <c r="L65" s="159"/>
      <c r="M65" s="160"/>
      <c r="N65" s="147"/>
      <c r="O65" s="148"/>
    </row>
    <row r="66" spans="1:15" s="41" customFormat="1" ht="15" customHeight="1">
      <c r="A66" s="89"/>
      <c r="B66" s="133"/>
      <c r="C66" s="43"/>
      <c r="D66" s="483"/>
      <c r="E66" s="483"/>
      <c r="F66" s="486"/>
      <c r="G66" s="33"/>
      <c r="H66" s="533"/>
      <c r="I66" s="35"/>
      <c r="J66" s="36"/>
      <c r="K66" s="36"/>
      <c r="L66" s="159"/>
      <c r="M66" s="160"/>
      <c r="N66" s="147"/>
      <c r="O66" s="148"/>
    </row>
    <row r="67" spans="1:15" s="41" customFormat="1" ht="15" customHeight="1">
      <c r="A67" s="89"/>
      <c r="B67" s="133"/>
      <c r="C67" s="43" t="s">
        <v>237</v>
      </c>
      <c r="D67" s="483"/>
      <c r="E67" s="483"/>
      <c r="F67" s="483"/>
      <c r="G67" s="33"/>
      <c r="H67" s="533">
        <v>0</v>
      </c>
      <c r="I67" s="35"/>
      <c r="J67" s="36"/>
      <c r="K67" s="36"/>
      <c r="L67" s="159"/>
      <c r="M67" s="160"/>
      <c r="N67" s="147"/>
      <c r="O67" s="148"/>
    </row>
    <row r="68" spans="1:15" s="41" customFormat="1" ht="15" customHeight="1" thickBot="1">
      <c r="A68" s="89"/>
      <c r="B68" s="133"/>
      <c r="C68" s="43"/>
      <c r="D68" s="483"/>
      <c r="E68" s="483"/>
      <c r="F68" s="483"/>
      <c r="G68" s="33"/>
      <c r="H68" s="556"/>
      <c r="I68" s="35"/>
      <c r="J68" s="36"/>
      <c r="K68" s="36"/>
      <c r="L68" s="159"/>
      <c r="M68" s="160"/>
      <c r="N68" s="147"/>
      <c r="O68" s="148"/>
    </row>
    <row r="69" spans="1:15" s="41" customFormat="1" ht="15" customHeight="1" thickTop="1">
      <c r="A69" s="88"/>
      <c r="B69" s="131"/>
      <c r="C69" s="38"/>
      <c r="D69" s="52"/>
      <c r="E69" s="52"/>
      <c r="F69" s="483"/>
      <c r="G69" s="33"/>
      <c r="H69" s="520"/>
      <c r="I69" s="35"/>
      <c r="J69" s="36"/>
      <c r="K69" s="36"/>
      <c r="L69" s="155"/>
      <c r="M69" s="156"/>
      <c r="N69" s="147"/>
      <c r="O69" s="148"/>
    </row>
    <row r="70" spans="1:15" s="37" customFormat="1" ht="15" customHeight="1">
      <c r="A70" s="88"/>
      <c r="B70" s="131"/>
      <c r="C70" s="222" t="s">
        <v>286</v>
      </c>
      <c r="D70" s="483"/>
      <c r="E70" s="483"/>
      <c r="F70" s="52"/>
      <c r="G70" s="33" t="s">
        <v>11</v>
      </c>
      <c r="H70" s="554">
        <v>25</v>
      </c>
      <c r="I70" s="35"/>
      <c r="J70" s="36"/>
      <c r="K70" s="36"/>
      <c r="L70" s="155">
        <v>25</v>
      </c>
      <c r="M70" s="156">
        <f>H70*L70</f>
        <v>625</v>
      </c>
      <c r="N70" s="147">
        <f>L70*1.5</f>
        <v>37.5</v>
      </c>
      <c r="O70" s="148">
        <f>N70*H70</f>
        <v>937.5</v>
      </c>
    </row>
    <row r="71" spans="1:15" s="37" customFormat="1" ht="15" customHeight="1">
      <c r="A71" s="89"/>
      <c r="B71" s="133"/>
      <c r="C71" s="43"/>
      <c r="F71" s="486"/>
      <c r="G71" s="33"/>
      <c r="H71" s="533"/>
      <c r="I71" s="35"/>
      <c r="J71" s="36"/>
      <c r="K71" s="36"/>
      <c r="L71" s="159"/>
      <c r="M71" s="160"/>
      <c r="N71" s="147"/>
      <c r="O71" s="148"/>
    </row>
    <row r="72" spans="1:15" s="41" customFormat="1" ht="17.7" customHeight="1">
      <c r="A72" s="91"/>
      <c r="B72" s="166" t="s">
        <v>134</v>
      </c>
      <c r="C72" s="24"/>
      <c r="D72" s="483"/>
      <c r="E72" s="483"/>
      <c r="F72" s="483"/>
      <c r="G72" s="33"/>
      <c r="H72" s="554"/>
      <c r="I72" s="17"/>
      <c r="J72" s="20"/>
      <c r="K72" s="20"/>
      <c r="L72" s="157"/>
      <c r="M72" s="158"/>
      <c r="N72" s="147"/>
      <c r="O72" s="148"/>
    </row>
    <row r="73" spans="1:15" s="37" customFormat="1" ht="15" customHeight="1">
      <c r="A73" s="91"/>
      <c r="B73" s="166"/>
      <c r="C73" s="24"/>
      <c r="D73" s="483" t="s">
        <v>135</v>
      </c>
      <c r="E73" s="483" t="s">
        <v>136</v>
      </c>
      <c r="F73" s="483" t="s">
        <v>137</v>
      </c>
      <c r="G73" s="33"/>
      <c r="H73" s="554"/>
      <c r="I73" s="17"/>
      <c r="J73" s="20"/>
      <c r="K73" s="20"/>
      <c r="L73" s="157"/>
      <c r="M73" s="158"/>
      <c r="N73" s="147"/>
      <c r="O73" s="148"/>
    </row>
    <row r="74" spans="1:15" s="37" customFormat="1" ht="15" customHeight="1">
      <c r="A74" s="91"/>
      <c r="B74" s="130"/>
      <c r="C74" s="86" t="s">
        <v>260</v>
      </c>
      <c r="D74" s="507">
        <v>4</v>
      </c>
      <c r="E74" s="502">
        <v>8</v>
      </c>
      <c r="F74" s="507">
        <v>8</v>
      </c>
      <c r="G74" s="33"/>
      <c r="H74" s="555">
        <f>D74*E74*F74</f>
        <v>256</v>
      </c>
      <c r="I74" s="87"/>
      <c r="J74" s="20"/>
      <c r="K74" s="20"/>
      <c r="L74" s="157">
        <v>75</v>
      </c>
      <c r="M74" s="158">
        <f>H74*L74</f>
        <v>19200</v>
      </c>
      <c r="N74" s="147">
        <v>82.5</v>
      </c>
      <c r="O74" s="148">
        <f>N74*H74</f>
        <v>21120</v>
      </c>
    </row>
    <row r="75" spans="1:15" s="41" customFormat="1" ht="15" customHeight="1">
      <c r="A75" s="91"/>
      <c r="C75" s="452" t="s">
        <v>261</v>
      </c>
      <c r="D75" s="507">
        <v>4</v>
      </c>
      <c r="E75" s="502">
        <v>8</v>
      </c>
      <c r="F75" s="507">
        <v>2</v>
      </c>
      <c r="G75" s="33"/>
      <c r="H75" s="555">
        <f>D75*E75*F75</f>
        <v>64</v>
      </c>
      <c r="I75" s="87"/>
      <c r="J75" s="20"/>
      <c r="K75" s="20"/>
      <c r="L75" s="157">
        <v>75</v>
      </c>
      <c r="M75" s="158">
        <f>H75*L75</f>
        <v>4800</v>
      </c>
      <c r="N75" s="147">
        <v>82.5</v>
      </c>
      <c r="O75" s="148">
        <f>N75*H75</f>
        <v>5280</v>
      </c>
    </row>
    <row r="76" spans="1:15" s="37" customFormat="1" ht="15" customHeight="1">
      <c r="A76" s="91"/>
      <c r="B76" s="41"/>
      <c r="C76" s="41"/>
      <c r="D76" s="483"/>
      <c r="E76" s="483"/>
      <c r="F76" s="483"/>
      <c r="G76" s="33"/>
      <c r="H76" s="520"/>
      <c r="I76" s="17"/>
      <c r="J76" s="20"/>
      <c r="K76" s="20"/>
      <c r="L76" s="157"/>
      <c r="M76" s="158"/>
      <c r="N76" s="147"/>
      <c r="O76" s="148"/>
    </row>
    <row r="77" spans="1:15" s="37" customFormat="1" ht="15" customHeight="1">
      <c r="A77" s="88"/>
      <c r="B77" s="131"/>
      <c r="C77" s="942" t="s">
        <v>235</v>
      </c>
      <c r="D77" s="952"/>
      <c r="E77" s="952"/>
      <c r="F77" s="952"/>
      <c r="G77" s="33" t="s">
        <v>236</v>
      </c>
      <c r="H77" s="554">
        <f>H80</f>
        <v>4410</v>
      </c>
      <c r="I77" s="35"/>
      <c r="J77" s="36"/>
      <c r="K77" s="36"/>
      <c r="L77" s="155">
        <v>1</v>
      </c>
      <c r="M77" s="156">
        <f>H77*L77</f>
        <v>4410</v>
      </c>
      <c r="N77" s="145">
        <v>1.5</v>
      </c>
      <c r="O77" s="146">
        <f>N77*H77</f>
        <v>6615</v>
      </c>
    </row>
    <row r="78" spans="1:15">
      <c r="A78" s="89"/>
      <c r="B78" s="133"/>
      <c r="C78" s="43"/>
      <c r="D78" s="483">
        <v>210</v>
      </c>
      <c r="E78" s="476">
        <v>16</v>
      </c>
      <c r="F78" s="486"/>
      <c r="G78" s="33"/>
      <c r="H78" s="533">
        <f>D78*E78</f>
        <v>3360</v>
      </c>
      <c r="I78" s="35"/>
      <c r="J78" s="36"/>
      <c r="K78" s="36"/>
      <c r="L78" s="159"/>
      <c r="M78" s="160"/>
      <c r="N78" s="149"/>
      <c r="O78" s="150"/>
    </row>
    <row r="79" spans="1:15">
      <c r="A79" s="89"/>
      <c r="B79" s="133"/>
      <c r="C79" s="43" t="s">
        <v>237</v>
      </c>
      <c r="D79" s="483">
        <v>150</v>
      </c>
      <c r="E79" s="483">
        <v>7</v>
      </c>
      <c r="F79" s="483"/>
      <c r="G79" s="33"/>
      <c r="H79" s="533">
        <f>D79*E79</f>
        <v>1050</v>
      </c>
      <c r="I79" s="35"/>
      <c r="J79" s="36"/>
      <c r="K79" s="36"/>
      <c r="L79" s="159"/>
      <c r="M79" s="160"/>
      <c r="N79" s="149"/>
      <c r="O79" s="150"/>
    </row>
    <row r="80" spans="1:15" ht="16.2" thickBot="1">
      <c r="A80" s="89"/>
      <c r="B80" s="133"/>
      <c r="C80" s="43"/>
      <c r="D80" s="483"/>
      <c r="E80" s="483"/>
      <c r="F80" s="483"/>
      <c r="G80" s="33"/>
      <c r="H80" s="556">
        <f>SUM(H78:H79)</f>
        <v>4410</v>
      </c>
      <c r="I80" s="35"/>
      <c r="J80" s="36"/>
      <c r="K80" s="36"/>
      <c r="L80" s="159"/>
      <c r="M80" s="160"/>
      <c r="N80" s="149"/>
      <c r="O80" s="150"/>
    </row>
    <row r="81" spans="1:15" ht="16.2" thickTop="1">
      <c r="A81" s="91"/>
      <c r="B81" s="41"/>
      <c r="C81" s="41"/>
      <c r="D81" s="483"/>
      <c r="E81" s="483"/>
      <c r="F81" s="483"/>
      <c r="G81" s="33"/>
      <c r="H81" s="520"/>
      <c r="I81" s="17"/>
      <c r="J81" s="20"/>
      <c r="K81" s="20"/>
      <c r="L81" s="157"/>
      <c r="M81" s="158"/>
      <c r="N81" s="147"/>
      <c r="O81" s="148"/>
    </row>
    <row r="82" spans="1:15">
      <c r="A82" s="91"/>
      <c r="B82" s="41"/>
      <c r="C82" s="41"/>
      <c r="D82" s="483"/>
      <c r="E82" s="483"/>
      <c r="F82" s="483"/>
      <c r="G82" s="33"/>
      <c r="H82" s="520"/>
      <c r="I82" s="17"/>
      <c r="J82" s="20"/>
      <c r="K82" s="20"/>
      <c r="L82" s="157"/>
      <c r="M82" s="158"/>
      <c r="N82" s="147"/>
      <c r="O82" s="148"/>
    </row>
    <row r="83" spans="1:15">
      <c r="A83" s="91"/>
      <c r="B83" s="130"/>
      <c r="C83" s="24"/>
      <c r="D83" s="483"/>
      <c r="E83" s="483"/>
      <c r="F83" s="483"/>
      <c r="G83" s="33"/>
      <c r="H83" s="554"/>
      <c r="I83" s="17"/>
      <c r="J83" s="20"/>
      <c r="K83" s="20"/>
      <c r="L83" s="157"/>
      <c r="M83" s="158"/>
      <c r="N83" s="147"/>
      <c r="O83" s="148"/>
    </row>
    <row r="84" spans="1:15">
      <c r="A84" s="91"/>
      <c r="B84" s="130"/>
      <c r="C84" s="86"/>
      <c r="D84" s="502"/>
      <c r="E84" s="502"/>
      <c r="F84" s="502"/>
      <c r="G84" s="33"/>
      <c r="H84" s="533">
        <v>0</v>
      </c>
      <c r="I84" s="87"/>
      <c r="J84" s="20"/>
      <c r="K84" s="20"/>
      <c r="L84" s="161">
        <f>M85/H16</f>
        <v>79.474999999999994</v>
      </c>
      <c r="M84" s="158"/>
      <c r="N84" s="151">
        <f>O85/H16</f>
        <v>108.54583333333333</v>
      </c>
      <c r="O84" s="148"/>
    </row>
    <row r="85" spans="1:15">
      <c r="A85" s="90"/>
      <c r="B85" s="132"/>
      <c r="C85" s="67"/>
      <c r="D85" s="499"/>
      <c r="E85" s="499"/>
      <c r="F85" s="499"/>
      <c r="G85" s="69"/>
      <c r="H85" s="528"/>
      <c r="I85" s="75"/>
      <c r="J85" s="76"/>
      <c r="K85" s="77"/>
      <c r="L85" s="154" t="s">
        <v>140</v>
      </c>
      <c r="M85" s="154">
        <f>SUM(M5:M82)</f>
        <v>71527.5</v>
      </c>
      <c r="N85" s="144" t="s">
        <v>140</v>
      </c>
      <c r="O85" s="144">
        <f>SUM(O9:O82)</f>
        <v>97691.25</v>
      </c>
    </row>
  </sheetData>
  <mergeCells count="8">
    <mergeCell ref="C19:F19"/>
    <mergeCell ref="C33:F33"/>
    <mergeCell ref="K1:M1"/>
    <mergeCell ref="C77:F77"/>
    <mergeCell ref="C38:F38"/>
    <mergeCell ref="C51:F51"/>
    <mergeCell ref="C55:F55"/>
    <mergeCell ref="C60:F60"/>
  </mergeCells>
  <pageMargins left="0.7" right="0.7" top="0.75" bottom="0.75" header="0.3" footer="0.3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18</vt:i4>
      </vt:variant>
    </vt:vector>
  </HeadingPairs>
  <TitlesOfParts>
    <vt:vector size="35" baseType="lpstr">
      <vt:lpstr>SUMMARY</vt:lpstr>
      <vt:lpstr>Costings</vt:lpstr>
      <vt:lpstr>Bulk Excavation</vt:lpstr>
      <vt:lpstr>Bored Piers</vt:lpstr>
      <vt:lpstr>Capping Beam</vt:lpstr>
      <vt:lpstr>Shotcrete</vt:lpstr>
      <vt:lpstr>Raft Slab</vt:lpstr>
      <vt:lpstr>Waffle Slab</vt:lpstr>
      <vt:lpstr>Infill Slab</vt:lpstr>
      <vt:lpstr>Footing &amp; Detailed Excavation</vt:lpstr>
      <vt:lpstr>First Floor Suspended Slab</vt:lpstr>
      <vt:lpstr>Second Floor Suspended Slab</vt:lpstr>
      <vt:lpstr>Columns</vt:lpstr>
      <vt:lpstr>AFS Logic Walls Walls</vt:lpstr>
      <vt:lpstr>Stairs</vt:lpstr>
      <vt:lpstr>Miscellaneous Works</vt:lpstr>
      <vt:lpstr>Site Cleaning</vt:lpstr>
      <vt:lpstr>'AFS Logic Walls Walls'!Print_Area</vt:lpstr>
      <vt:lpstr>'Bored Piers'!Print_Area</vt:lpstr>
      <vt:lpstr>'Bulk Excavation'!Print_Area</vt:lpstr>
      <vt:lpstr>'Capping Beam'!Print_Area</vt:lpstr>
      <vt:lpstr>Columns!Print_Area</vt:lpstr>
      <vt:lpstr>'First Floor Suspended Slab'!Print_Area</vt:lpstr>
      <vt:lpstr>'Footing &amp; Detailed Excavation'!Print_Area</vt:lpstr>
      <vt:lpstr>'Infill Slab'!Print_Area</vt:lpstr>
      <vt:lpstr>'Miscellaneous Works'!Print_Area</vt:lpstr>
      <vt:lpstr>'Raft Slab'!Print_Area</vt:lpstr>
      <vt:lpstr>'Second Floor Suspended Slab'!Print_Area</vt:lpstr>
      <vt:lpstr>Shotcrete!Print_Area</vt:lpstr>
      <vt:lpstr>'Site Cleaning'!Print_Area</vt:lpstr>
      <vt:lpstr>Stairs!Print_Area</vt:lpstr>
      <vt:lpstr>'Waffle Slab'!Print_Area</vt:lpstr>
      <vt:lpstr>'Raft Slab'!Print_Titles</vt:lpstr>
      <vt:lpstr>SUMMARY!Print_Titles</vt:lpstr>
      <vt:lpstr>'Waffle Slab'!Print_Titles</vt:lpstr>
    </vt:vector>
  </TitlesOfParts>
  <Manager/>
  <Company>Doi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Tester1</dc:creator>
  <cp:keywords/>
  <dc:description/>
  <cp:lastModifiedBy>Darren Wallbank</cp:lastModifiedBy>
  <cp:revision/>
  <dcterms:created xsi:type="dcterms:W3CDTF">1998-05-31T08:04:03Z</dcterms:created>
  <dcterms:modified xsi:type="dcterms:W3CDTF">2024-11-26T02:27:09Z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-880157550</vt:i4>
  </property>
  <property fmtid="{D5CDD505-2E9C-101B-9397-08002B2CF9AE}" pid="3" name="_NewReviewCycle">
    <vt:lpwstr/>
  </property>
  <property fmtid="{D5CDD505-2E9C-101B-9397-08002B2CF9AE}" pid="4" name="_EmailSubject">
    <vt:lpwstr>170 Belmore Rd, Balwyn</vt:lpwstr>
  </property>
  <property fmtid="{D5CDD505-2E9C-101B-9397-08002B2CF9AE}" pid="5" name="_AuthorEmail">
    <vt:lpwstr>NSullivan@skm.com.au</vt:lpwstr>
  </property>
  <property fmtid="{D5CDD505-2E9C-101B-9397-08002B2CF9AE}" pid="6" name="_AuthorEmailDisplayName">
    <vt:lpwstr>Sullivan, Nigel G (SKM)</vt:lpwstr>
  </property>
  <property fmtid="{D5CDD505-2E9C-101B-9397-08002B2CF9AE}" pid="7" name="_ReviewingToolsShownOnce">
    <vt:lpwstr/>
  </property>
</Properties>
</file>